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400" windowHeight="13140" activeTab="3"/>
  </bookViews>
  <sheets>
    <sheet name="Guardrail Application" sheetId="1" r:id="rId1"/>
    <sheet name="Pavement Marking Application" sheetId="2" r:id="rId2"/>
    <sheet name="RPM Application" sheetId="3" r:id="rId3"/>
    <sheet name="County Totals" sheetId="4" r:id="rId4"/>
    <sheet name="Guardrail" sheetId="5" r:id="rId5"/>
    <sheet name="PMarkings" sheetId="6" r:id="rId6"/>
    <sheet name="RPMs" sheetId="7" r:id="rId7"/>
    <sheet name="Costs" sheetId="8" r:id="rId8"/>
  </sheets>
  <definedNames>
    <definedName name="_xlnm._FilterDatabase" localSheetId="3" hidden="1">'County Totals'!$A$2:$J$90</definedName>
    <definedName name="_xlnm._FilterDatabase" localSheetId="4" hidden="1">'Guardrail'!$A$3:$P$91</definedName>
    <definedName name="_xlnm._FilterDatabase" localSheetId="5" hidden="1">'PMarkings'!$A$3:$J$91</definedName>
    <definedName name="_xlnm._FilterDatabase" localSheetId="6" hidden="1">'RPMs'!$A$3:$D$91</definedName>
    <definedName name="_xlfn.IFERROR" hidden="1">#NAME?</definedName>
    <definedName name="_xlfn.RANK.AVG" hidden="1">#NAME?</definedName>
    <definedName name="County">'County Totals'!$A$3:$A$90</definedName>
    <definedName name="County_Cd">'County Totals'!$A$3:$A$90</definedName>
    <definedName name="_xlnm.Print_Area" localSheetId="0">'Guardrail Application'!$A$1:$J$47</definedName>
    <definedName name="_xlnm.Print_Area" localSheetId="1">'Pavement Marking Application'!$A$1:$J$57</definedName>
    <definedName name="_xlnm.Print_Area" localSheetId="2">'RPM Application'!$A$1:$J$43</definedName>
    <definedName name="Select">'Costs'!$F$1:$F$3</definedName>
  </definedNames>
  <calcPr fullCalcOnLoad="1"/>
</workbook>
</file>

<file path=xl/sharedStrings.xml><?xml version="1.0" encoding="utf-8"?>
<sst xmlns="http://schemas.openxmlformats.org/spreadsheetml/2006/main" count="564" uniqueCount="191">
  <si>
    <t>ADA</t>
  </si>
  <si>
    <t>ALL</t>
  </si>
  <si>
    <t>ASD</t>
  </si>
  <si>
    <t>ATB</t>
  </si>
  <si>
    <t>ATH</t>
  </si>
  <si>
    <t>AUG</t>
  </si>
  <si>
    <t>BEL</t>
  </si>
  <si>
    <t>BRO</t>
  </si>
  <si>
    <t>BUT</t>
  </si>
  <si>
    <t>CAR</t>
  </si>
  <si>
    <t>CHP</t>
  </si>
  <si>
    <t>CLA</t>
  </si>
  <si>
    <t>CLE</t>
  </si>
  <si>
    <t>CLI</t>
  </si>
  <si>
    <t>COL</t>
  </si>
  <si>
    <t>COS</t>
  </si>
  <si>
    <t>CRA</t>
  </si>
  <si>
    <t>CUY</t>
  </si>
  <si>
    <t>DAR</t>
  </si>
  <si>
    <t>DEF</t>
  </si>
  <si>
    <t>DEL</t>
  </si>
  <si>
    <t>ERI</t>
  </si>
  <si>
    <t>FAI</t>
  </si>
  <si>
    <t>FAY</t>
  </si>
  <si>
    <t>FRA</t>
  </si>
  <si>
    <t>FUL</t>
  </si>
  <si>
    <t>GAL</t>
  </si>
  <si>
    <t>GEA</t>
  </si>
  <si>
    <t>GRE</t>
  </si>
  <si>
    <t>GUE</t>
  </si>
  <si>
    <t>HAM</t>
  </si>
  <si>
    <t>HAN</t>
  </si>
  <si>
    <t>HAR</t>
  </si>
  <si>
    <t>HAS</t>
  </si>
  <si>
    <t>HEN</t>
  </si>
  <si>
    <t>HIG</t>
  </si>
  <si>
    <t>HOC</t>
  </si>
  <si>
    <t>HOL</t>
  </si>
  <si>
    <t>HUR</t>
  </si>
  <si>
    <t>JAC</t>
  </si>
  <si>
    <t>JEF</t>
  </si>
  <si>
    <t>KNO</t>
  </si>
  <si>
    <t>LAK</t>
  </si>
  <si>
    <t>LAW</t>
  </si>
  <si>
    <t>LIC</t>
  </si>
  <si>
    <t>LOG</t>
  </si>
  <si>
    <t>LOR</t>
  </si>
  <si>
    <t>LUC</t>
  </si>
  <si>
    <t>MAD</t>
  </si>
  <si>
    <t>MAH</t>
  </si>
  <si>
    <t>MAR</t>
  </si>
  <si>
    <t>MED</t>
  </si>
  <si>
    <t>MEG</t>
  </si>
  <si>
    <t>MER</t>
  </si>
  <si>
    <t>MIA</t>
  </si>
  <si>
    <t>MOE</t>
  </si>
  <si>
    <t>MOT</t>
  </si>
  <si>
    <t>MRG</t>
  </si>
  <si>
    <t>MRW</t>
  </si>
  <si>
    <t>MUS</t>
  </si>
  <si>
    <t>NOB</t>
  </si>
  <si>
    <t>OTT</t>
  </si>
  <si>
    <t>PAU</t>
  </si>
  <si>
    <t>PER</t>
  </si>
  <si>
    <t>PIC</t>
  </si>
  <si>
    <t>PIK</t>
  </si>
  <si>
    <t>POR</t>
  </si>
  <si>
    <t>PRE</t>
  </si>
  <si>
    <t>PUT</t>
  </si>
  <si>
    <t>RIC</t>
  </si>
  <si>
    <t>ROS</t>
  </si>
  <si>
    <t>SAN</t>
  </si>
  <si>
    <t>SCI</t>
  </si>
  <si>
    <t>SEN</t>
  </si>
  <si>
    <t>SHE</t>
  </si>
  <si>
    <t>STA</t>
  </si>
  <si>
    <t>SUM</t>
  </si>
  <si>
    <t>TRU</t>
  </si>
  <si>
    <t>TUS</t>
  </si>
  <si>
    <t>UNI</t>
  </si>
  <si>
    <t>VAN</t>
  </si>
  <si>
    <t>VIN</t>
  </si>
  <si>
    <t>WAR</t>
  </si>
  <si>
    <t>WAS</t>
  </si>
  <si>
    <t>WAY</t>
  </si>
  <si>
    <t>WIL</t>
  </si>
  <si>
    <t>WOO</t>
  </si>
  <si>
    <t>WYA</t>
  </si>
  <si>
    <t>County</t>
  </si>
  <si>
    <t>ADT-Miles Total</t>
  </si>
  <si>
    <t>Average ADT</t>
  </si>
  <si>
    <t>Crash Rate</t>
  </si>
  <si>
    <t>Crash Total</t>
  </si>
  <si>
    <t>Fatal Crash Total</t>
  </si>
  <si>
    <t>Injury Crash Total</t>
  </si>
  <si>
    <t>Pavement Marking Total</t>
  </si>
  <si>
    <t>Raised Pavement Marking Total</t>
  </si>
  <si>
    <t>Project Administration:</t>
  </si>
  <si>
    <t>LOCAL-LET:</t>
  </si>
  <si>
    <t>ODOT-LET:</t>
  </si>
  <si>
    <t>%</t>
  </si>
  <si>
    <t>County Rank</t>
  </si>
  <si>
    <t>Severity Factor</t>
  </si>
  <si>
    <t>Points</t>
  </si>
  <si>
    <t>1. Submit cost estimates in current year dollars and include 10% CE</t>
  </si>
  <si>
    <t>- changing a blunt end or turned-down end treatment to a new end treatment</t>
  </si>
  <si>
    <t>- upgrading existing guardrail from Type 4 to Type 5</t>
  </si>
  <si>
    <t>**NOTE:</t>
  </si>
  <si>
    <t>Funding:*</t>
  </si>
  <si>
    <t>Guardrail Scoring:</t>
  </si>
  <si>
    <t>$0 to $100,000</t>
  </si>
  <si>
    <t>Guardrail Cost Scoring Point Table</t>
  </si>
  <si>
    <t>Costs</t>
  </si>
  <si>
    <t>Points Awarded:</t>
  </si>
  <si>
    <t>% of Fatal and Injury Crashes of State Total</t>
  </si>
  <si>
    <t>% of Fatal and Injury Crashes for Group of the County Total</t>
  </si>
  <si>
    <t xml:space="preserve">Total = </t>
  </si>
  <si>
    <t xml:space="preserve">Total Points: </t>
  </si>
  <si>
    <t>Date:</t>
  </si>
  <si>
    <t>County Engineer's Signature:</t>
  </si>
  <si>
    <r>
      <t xml:space="preserve">Repairing or replacing existing guardrail in-kind is considered maintenance and is </t>
    </r>
    <r>
      <rPr>
        <b/>
        <i/>
        <sz val="11"/>
        <color indexed="8"/>
        <rFont val="Calibri"/>
        <family val="2"/>
      </rPr>
      <t>NOT</t>
    </r>
    <r>
      <rPr>
        <i/>
        <sz val="11"/>
        <color indexed="8"/>
        <rFont val="Calibri"/>
        <family val="2"/>
      </rPr>
      <t xml:space="preserve"> Eligible for HSIP Funding.  If funding is desired for this type of work, please submit a CSTP Funding Application.</t>
    </r>
  </si>
  <si>
    <t>Weighted Points Earned</t>
  </si>
  <si>
    <t>Weighted Points Possible</t>
  </si>
  <si>
    <t>Fixed Object Struck (Everything except Guardrail)</t>
  </si>
  <si>
    <t>Pavement Markings - New</t>
  </si>
  <si>
    <t>Pavement Markings - Upgrade</t>
  </si>
  <si>
    <t>-  installing pavement markings where there has been no pavement markings in the past</t>
  </si>
  <si>
    <r>
      <t xml:space="preserve">Repairing or replacing existing pavement markings in-kind is considered maintenance and is </t>
    </r>
    <r>
      <rPr>
        <b/>
        <i/>
        <sz val="11"/>
        <color indexed="8"/>
        <rFont val="Calibri"/>
        <family val="2"/>
      </rPr>
      <t>NOT</t>
    </r>
    <r>
      <rPr>
        <i/>
        <sz val="11"/>
        <color indexed="8"/>
        <rFont val="Calibri"/>
        <family val="2"/>
      </rPr>
      <t xml:space="preserve"> Eligible for HSIP Funding.  If funding is desired for this type of work, please submit a CSTP Funding Application.</t>
    </r>
  </si>
  <si>
    <t>-  installing raised pavement markers where there has been no raised pavement markers in the past</t>
  </si>
  <si>
    <t>Raised Pavement Markers - New</t>
  </si>
  <si>
    <t>PM Cost Scoring Point Table</t>
  </si>
  <si>
    <t>$0 to $50,000</t>
  </si>
  <si>
    <t>$100,001 to $150,000</t>
  </si>
  <si>
    <t>$50,001 to $100,000</t>
  </si>
  <si>
    <t>$100,001 to $200,000</t>
  </si>
  <si>
    <t>$200,001 to $300,000</t>
  </si>
  <si>
    <t>$0 to $25,000</t>
  </si>
  <si>
    <t>$25,001 to $50,000</t>
  </si>
  <si>
    <t>$50,001 to $75,000</t>
  </si>
  <si>
    <t>- upgrading the existing pavement markings to a longer-lasting material or upgraded type</t>
  </si>
  <si>
    <t>Effective-ness Factor</t>
  </si>
  <si>
    <r>
      <t xml:space="preserve">Repairing or replacing existing raised pavement markers in-kind is considered maintenance and is </t>
    </r>
    <r>
      <rPr>
        <b/>
        <i/>
        <sz val="11"/>
        <color indexed="8"/>
        <rFont val="Calibri"/>
        <family val="2"/>
      </rPr>
      <t>NOT</t>
    </r>
    <r>
      <rPr>
        <i/>
        <sz val="11"/>
        <color indexed="8"/>
        <rFont val="Calibri"/>
        <family val="2"/>
      </rPr>
      <t xml:space="preserve"> Eligible for HSIP Funding.  If funding is desired for this type of work, please submit a CSTP Funding Application.</t>
    </r>
  </si>
  <si>
    <t>Raised Pavement Marker Scoring:</t>
  </si>
  <si>
    <t>Pavement Marking Scoring:</t>
  </si>
  <si>
    <t>Effective-ness Factor^</t>
  </si>
  <si>
    <t xml:space="preserve">   (*Guardrail Projects are funded at 100% federal)</t>
  </si>
  <si>
    <t xml:space="preserve">   (*Pavement Marking Projects are funded at 100% federal)</t>
  </si>
  <si>
    <t xml:space="preserve">   (*Raised Pavement Marker Projects are funded at 100% federal)</t>
  </si>
  <si>
    <t>New Guardrail For Fixed Object Protection</t>
  </si>
  <si>
    <t>Upgrading Existing Guardrail</t>
  </si>
  <si>
    <t>RPM Cost Scoring Point Table</t>
  </si>
  <si>
    <t>No</t>
  </si>
  <si>
    <t>Yes</t>
  </si>
  <si>
    <t>$</t>
  </si>
  <si>
    <t>Crash Rate Rank</t>
  </si>
  <si>
    <t>Crash Rate Priority Ranking</t>
  </si>
  <si>
    <t>Run off the Road and Fixed Object Struck (Guardrail)</t>
  </si>
  <si>
    <t>Wet Pavement Crashes (in dark with lights, Dusk, and Dawn), Night Crashes, Run off the Road Crashes, Head-on and Sideswipe-Meeting</t>
  </si>
  <si>
    <t xml:space="preserve">COUNTY: </t>
  </si>
  <si>
    <t xml:space="preserve">Category 1: </t>
  </si>
  <si>
    <t xml:space="preserve">Category 2: </t>
  </si>
  <si>
    <t>Category 1: New Guardrail For Fixed Object Protection</t>
  </si>
  <si>
    <t>Category 2: Upgrading Existing Guardrail</t>
  </si>
  <si>
    <t>Category 1: Raised Pavement Marker - New</t>
  </si>
  <si>
    <t>2. CRASH BENEFIT ANALYSIS (88 Points Possible)</t>
  </si>
  <si>
    <t>TOTAL FUNDING REQUEST ($300,000 max):</t>
  </si>
  <si>
    <t>TOTAL FUNDING REQUEST ($150,000 max):</t>
  </si>
  <si>
    <t>TOTAL FUNDING REQUEST ($75,000 max):</t>
  </si>
  <si>
    <t>- extending existing guardrail installations to meet current design requirements of Section 602 of the ODOT Location and Design Manual, Volume 1 in order to protect a fixed object</t>
  </si>
  <si>
    <t>- installing a new guardrail where no guardrail has existed in the past to protect a fixed object as defined in the ODOT Location and Design Manual, Volume 1, Section 601</t>
  </si>
  <si>
    <t>APPROXIMATELY WHAT PERCENTAGE OF THE TOTAL FUNDING REQUEST DOES THIS PROJECT INVOLVE:</t>
  </si>
  <si>
    <t>Project Category:</t>
  </si>
  <si>
    <t>1. FUNDING REQUEST AMOUNT (6 Points Possible)</t>
  </si>
  <si>
    <t>Project Category</t>
  </si>
  <si>
    <t>Category %</t>
  </si>
  <si>
    <t>County Route Mileage outside of built-up areas of Population &gt; 5,000 people</t>
  </si>
  <si>
    <t>3. The Total Funding Request will be the maximum amount of funding allocated to the County's project.</t>
  </si>
  <si>
    <t>2. Requested Year and Estimated Costs may differ from actual approval by the CSTP/LBR Committee.</t>
  </si>
  <si>
    <t>Requested Funding</t>
  </si>
  <si>
    <t>(^Effectiveness Factor is based on a comparison of Crash Modification Factors)</t>
  </si>
  <si>
    <t>Pavement Markings - Edgeline Rumble Stripe</t>
  </si>
  <si>
    <t>Pavement Markings - Upgrade Wider Markings</t>
  </si>
  <si>
    <t>- Installing Edgeline Rumble Stripes</t>
  </si>
  <si>
    <t>- upgrading the existing pavement markings to a wider pavement marking type</t>
  </si>
  <si>
    <t xml:space="preserve">Category 3: </t>
  </si>
  <si>
    <t xml:space="preserve">Category 4: </t>
  </si>
  <si>
    <t>-It is recommended that these should be installed with a larger resurfacing project.</t>
  </si>
  <si>
    <t>-It is recommended that edgeline rumble stripes be installed on asphalt roadways with a total surface width of 24 feet.</t>
  </si>
  <si>
    <t xml:space="preserve">  (Safety would pay for the additional costs of adding rumble stripes to the project)</t>
  </si>
  <si>
    <t>Wet Pavement, Night Crashes, Run off the Road Crashes, Head-on and Sideswipe-Meeting)</t>
  </si>
  <si>
    <t>Weighted AADT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</si>
</sst>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#,##0.00#\ &quot;Mi&quot;"/>
    <numFmt numFmtId="166" formatCode="[$-409]dddd\,\ mmmm\ dd\,\ yyyy"/>
    <numFmt numFmtId="167" formatCode="[$-409]h:mm:ss\ AM/PM"/>
    <numFmt numFmtId="168" formatCode="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0.00000000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57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57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14"/>
      <color indexed="8"/>
      <name val="Calibri"/>
      <family val="2"/>
    </font>
    <font>
      <sz val="16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b/>
      <sz val="14"/>
      <color theme="1"/>
      <name val="Calibri"/>
      <family val="2"/>
    </font>
    <font>
      <b/>
      <i/>
      <sz val="11"/>
      <color theme="1"/>
      <name val="Calibri"/>
      <family val="2"/>
    </font>
    <font>
      <sz val="16"/>
      <color theme="1"/>
      <name val="Calibri"/>
      <family val="2"/>
    </font>
    <font>
      <sz val="11"/>
      <color rgb="FFFFFF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/>
      <right/>
      <top/>
      <bottom style="thin"/>
    </border>
    <border>
      <left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/>
      <right style="medium"/>
      <top/>
      <bottom/>
    </border>
    <border>
      <left/>
      <right/>
      <top style="thin"/>
      <bottom style="thin"/>
    </border>
    <border>
      <left style="thin"/>
      <right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54"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Fill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 textRotation="90" wrapText="1"/>
    </xf>
    <xf numFmtId="3" fontId="0" fillId="0" borderId="0" xfId="0" applyNumberFormat="1" applyAlignment="1">
      <alignment horizontal="center" textRotation="90" wrapText="1"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40" fillId="0" borderId="0" xfId="0" applyFont="1" applyBorder="1" applyAlignment="1">
      <alignment/>
    </xf>
    <xf numFmtId="0" fontId="42" fillId="0" borderId="0" xfId="0" applyFont="1" applyAlignment="1">
      <alignment/>
    </xf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43" fillId="0" borderId="0" xfId="0" applyFont="1" applyBorder="1" applyAlignment="1">
      <alignment/>
    </xf>
    <xf numFmtId="0" fontId="40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44" fontId="0" fillId="0" borderId="10" xfId="44" applyFont="1" applyBorder="1" applyAlignment="1">
      <alignment/>
    </xf>
    <xf numFmtId="0" fontId="0" fillId="0" borderId="12" xfId="0" applyBorder="1" applyAlignment="1">
      <alignment horizontal="center"/>
    </xf>
    <xf numFmtId="44" fontId="0" fillId="0" borderId="13" xfId="44" applyFont="1" applyBorder="1" applyAlignment="1">
      <alignment/>
    </xf>
    <xf numFmtId="44" fontId="0" fillId="0" borderId="14" xfId="44" applyFont="1" applyBorder="1" applyAlignment="1">
      <alignment/>
    </xf>
    <xf numFmtId="44" fontId="0" fillId="0" borderId="15" xfId="44" applyFont="1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0" fontId="0" fillId="0" borderId="0" xfId="57" applyNumberFormat="1" applyFont="1" applyFill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horizontal="right"/>
    </xf>
    <xf numFmtId="0" fontId="45" fillId="0" borderId="11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18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Fill="1" applyBorder="1" applyAlignment="1">
      <alignment horizontal="center" wrapText="1"/>
    </xf>
    <xf numFmtId="2" fontId="40" fillId="0" borderId="23" xfId="0" applyNumberFormat="1" applyFont="1" applyBorder="1" applyAlignment="1">
      <alignment horizontal="right"/>
    </xf>
    <xf numFmtId="0" fontId="40" fillId="0" borderId="24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25" xfId="0" applyBorder="1" applyAlignment="1">
      <alignment horizontal="center" vertical="center"/>
    </xf>
    <xf numFmtId="10" fontId="0" fillId="0" borderId="25" xfId="57" applyNumberFormat="1" applyFont="1" applyBorder="1" applyAlignment="1">
      <alignment horizontal="right" vertical="center"/>
    </xf>
    <xf numFmtId="164" fontId="0" fillId="0" borderId="26" xfId="0" applyNumberFormat="1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0" fillId="0" borderId="15" xfId="0" applyBorder="1" applyAlignment="1">
      <alignment horizontal="center" vertical="center"/>
    </xf>
    <xf numFmtId="10" fontId="0" fillId="0" borderId="15" xfId="57" applyNumberFormat="1" applyFont="1" applyBorder="1" applyAlignment="1">
      <alignment horizontal="right" vertical="center"/>
    </xf>
    <xf numFmtId="0" fontId="0" fillId="0" borderId="10" xfId="0" applyFill="1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right"/>
    </xf>
    <xf numFmtId="0" fontId="42" fillId="0" borderId="0" xfId="0" applyFont="1" applyFill="1" applyBorder="1" applyAlignment="1">
      <alignment horizontal="left" vertical="top" wrapText="1"/>
    </xf>
    <xf numFmtId="0" fontId="40" fillId="0" borderId="0" xfId="0" applyFont="1" applyBorder="1" applyAlignment="1">
      <alignment horizontal="right"/>
    </xf>
    <xf numFmtId="0" fontId="0" fillId="0" borderId="0" xfId="0" applyFill="1" applyBorder="1" applyAlignment="1">
      <alignment horizontal="center" wrapText="1"/>
    </xf>
    <xf numFmtId="0" fontId="0" fillId="0" borderId="0" xfId="0" applyBorder="1" applyAlignment="1">
      <alignment horizontal="right" vertical="center"/>
    </xf>
    <xf numFmtId="0" fontId="44" fillId="0" borderId="0" xfId="0" applyFont="1" applyAlignment="1">
      <alignment vertical="top"/>
    </xf>
    <xf numFmtId="0" fontId="46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10" xfId="0" applyFill="1" applyBorder="1" applyAlignment="1">
      <alignment horizontal="center"/>
    </xf>
    <xf numFmtId="0" fontId="47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19" xfId="0" applyBorder="1" applyAlignment="1">
      <alignment horizontal="center" wrapText="1"/>
    </xf>
    <xf numFmtId="165" fontId="0" fillId="0" borderId="0" xfId="0" applyNumberFormat="1" applyFill="1" applyBorder="1" applyAlignment="1">
      <alignment horizontal="left"/>
    </xf>
    <xf numFmtId="0" fontId="0" fillId="0" borderId="0" xfId="0" applyFill="1" applyBorder="1" applyAlignment="1">
      <alignment/>
    </xf>
    <xf numFmtId="0" fontId="45" fillId="0" borderId="0" xfId="0" applyFont="1" applyBorder="1" applyAlignment="1">
      <alignment horizontal="right"/>
    </xf>
    <xf numFmtId="0" fontId="45" fillId="0" borderId="27" xfId="0" applyFont="1" applyFill="1" applyBorder="1" applyAlignment="1">
      <alignment horizontal="center"/>
    </xf>
    <xf numFmtId="164" fontId="0" fillId="0" borderId="28" xfId="0" applyNumberFormat="1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164" fontId="0" fillId="0" borderId="29" xfId="0" applyNumberFormat="1" applyBorder="1" applyAlignment="1">
      <alignment horizontal="right" vertical="center"/>
    </xf>
    <xf numFmtId="164" fontId="0" fillId="0" borderId="14" xfId="0" applyNumberFormat="1" applyBorder="1" applyAlignment="1">
      <alignment horizontal="right" vertical="center"/>
    </xf>
    <xf numFmtId="0" fontId="0" fillId="0" borderId="30" xfId="0" applyBorder="1" applyAlignment="1">
      <alignment horizontal="center" vertical="center"/>
    </xf>
    <xf numFmtId="10" fontId="0" fillId="0" borderId="30" xfId="57" applyNumberFormat="1" applyFont="1" applyBorder="1" applyAlignment="1">
      <alignment horizontal="right" vertical="center"/>
    </xf>
    <xf numFmtId="164" fontId="0" fillId="0" borderId="31" xfId="0" applyNumberFormat="1" applyBorder="1" applyAlignment="1">
      <alignment horizontal="right" vertical="center"/>
    </xf>
    <xf numFmtId="0" fontId="0" fillId="0" borderId="32" xfId="0" applyBorder="1" applyAlignment="1">
      <alignment horizontal="right" vertical="center"/>
    </xf>
    <xf numFmtId="2" fontId="40" fillId="0" borderId="11" xfId="0" applyNumberFormat="1" applyFont="1" applyBorder="1" applyAlignment="1">
      <alignment horizontal="center"/>
    </xf>
    <xf numFmtId="0" fontId="0" fillId="0" borderId="0" xfId="0" applyFont="1" applyFill="1" applyBorder="1" applyAlignment="1" quotePrefix="1">
      <alignment vertical="top" wrapText="1"/>
    </xf>
    <xf numFmtId="0" fontId="0" fillId="0" borderId="0" xfId="0" applyFont="1" applyBorder="1" applyAlignment="1" quotePrefix="1">
      <alignment/>
    </xf>
    <xf numFmtId="0" fontId="0" fillId="0" borderId="0" xfId="0" applyFont="1" applyFill="1" applyBorder="1" applyAlignment="1" quotePrefix="1">
      <alignment wrapText="1"/>
    </xf>
    <xf numFmtId="9" fontId="0" fillId="0" borderId="29" xfId="57" applyFont="1" applyBorder="1" applyAlignment="1">
      <alignment horizontal="center" vertical="center"/>
    </xf>
    <xf numFmtId="9" fontId="0" fillId="0" borderId="14" xfId="57" applyFont="1" applyBorder="1" applyAlignment="1">
      <alignment horizontal="center" vertical="center"/>
    </xf>
    <xf numFmtId="9" fontId="0" fillId="0" borderId="31" xfId="57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9" fontId="0" fillId="0" borderId="13" xfId="57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0" fontId="0" fillId="0" borderId="10" xfId="57" applyNumberFormat="1" applyFont="1" applyBorder="1" applyAlignment="1">
      <alignment horizontal="right" vertical="center"/>
    </xf>
    <xf numFmtId="164" fontId="0" fillId="0" borderId="13" xfId="0" applyNumberFormat="1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2" fontId="0" fillId="0" borderId="25" xfId="57" applyNumberFormat="1" applyFont="1" applyBorder="1" applyAlignment="1">
      <alignment horizontal="right" vertical="center"/>
    </xf>
    <xf numFmtId="2" fontId="0" fillId="0" borderId="10" xfId="57" applyNumberFormat="1" applyFont="1" applyBorder="1" applyAlignment="1">
      <alignment horizontal="right" vertical="center"/>
    </xf>
    <xf numFmtId="2" fontId="0" fillId="0" borderId="15" xfId="57" applyNumberFormat="1" applyFont="1" applyBorder="1" applyAlignment="1">
      <alignment horizontal="right" vertical="center"/>
    </xf>
    <xf numFmtId="2" fontId="0" fillId="0" borderId="18" xfId="57" applyNumberFormat="1" applyFont="1" applyBorder="1" applyAlignment="1">
      <alignment horizontal="right" vertical="center"/>
    </xf>
    <xf numFmtId="2" fontId="0" fillId="0" borderId="17" xfId="57" applyNumberFormat="1" applyFont="1" applyBorder="1" applyAlignment="1">
      <alignment horizontal="right" vertical="center"/>
    </xf>
    <xf numFmtId="2" fontId="0" fillId="0" borderId="33" xfId="57" applyNumberFormat="1" applyFont="1" applyBorder="1" applyAlignment="1">
      <alignment horizontal="right" vertical="center"/>
    </xf>
    <xf numFmtId="0" fontId="43" fillId="0" borderId="0" xfId="0" applyFont="1" applyBorder="1" applyAlignment="1">
      <alignment horizontal="left"/>
    </xf>
    <xf numFmtId="0" fontId="0" fillId="0" borderId="0" xfId="0" applyFill="1" applyAlignment="1">
      <alignment horizontal="center" textRotation="90" wrapText="1"/>
    </xf>
    <xf numFmtId="0" fontId="0" fillId="0" borderId="0" xfId="0" applyFill="1" applyAlignment="1">
      <alignment/>
    </xf>
    <xf numFmtId="43" fontId="0" fillId="0" borderId="0" xfId="42" applyFont="1" applyFill="1" applyAlignment="1">
      <alignment/>
    </xf>
    <xf numFmtId="4" fontId="48" fillId="0" borderId="0" xfId="0" applyNumberFormat="1" applyFont="1" applyAlignment="1">
      <alignment/>
    </xf>
    <xf numFmtId="0" fontId="0" fillId="0" borderId="29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0" xfId="0" applyBorder="1" applyAlignment="1">
      <alignment horizontal="left"/>
    </xf>
    <xf numFmtId="0" fontId="40" fillId="0" borderId="0" xfId="0" applyFont="1" applyAlignment="1">
      <alignment horizontal="right"/>
    </xf>
    <xf numFmtId="0" fontId="40" fillId="0" borderId="34" xfId="0" applyFont="1" applyBorder="1" applyAlignment="1">
      <alignment horizontal="right"/>
    </xf>
    <xf numFmtId="0" fontId="47" fillId="0" borderId="27" xfId="0" applyFont="1" applyBorder="1" applyAlignment="1">
      <alignment horizontal="center"/>
    </xf>
    <xf numFmtId="0" fontId="0" fillId="0" borderId="0" xfId="0" applyAlignment="1">
      <alignment horizontal="left" vertical="top" wrapText="1"/>
    </xf>
    <xf numFmtId="0" fontId="47" fillId="0" borderId="35" xfId="0" applyFont="1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14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36" xfId="0" applyBorder="1" applyAlignment="1">
      <alignment horizontal="left" wrapText="1"/>
    </xf>
    <xf numFmtId="0" fontId="0" fillId="0" borderId="29" xfId="0" applyBorder="1" applyAlignment="1">
      <alignment horizontal="left" wrapText="1"/>
    </xf>
    <xf numFmtId="0" fontId="0" fillId="0" borderId="25" xfId="0" applyBorder="1" applyAlignment="1">
      <alignment horizontal="left" wrapText="1"/>
    </xf>
    <xf numFmtId="0" fontId="0" fillId="0" borderId="37" xfId="0" applyBorder="1" applyAlignment="1">
      <alignment horizontal="left" wrapText="1"/>
    </xf>
    <xf numFmtId="0" fontId="40" fillId="0" borderId="0" xfId="0" applyFont="1" applyBorder="1" applyAlignment="1">
      <alignment horizontal="right"/>
    </xf>
    <xf numFmtId="0" fontId="42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 quotePrefix="1">
      <alignment horizontal="left" vertical="top" wrapText="1"/>
    </xf>
    <xf numFmtId="0" fontId="0" fillId="0" borderId="0" xfId="0" applyFont="1" applyBorder="1" applyAlignment="1" quotePrefix="1">
      <alignment horizontal="left"/>
    </xf>
    <xf numFmtId="0" fontId="0" fillId="0" borderId="0" xfId="0" applyFont="1" applyFill="1" applyBorder="1" applyAlignment="1" quotePrefix="1">
      <alignment horizontal="left" wrapText="1"/>
    </xf>
    <xf numFmtId="0" fontId="0" fillId="0" borderId="0" xfId="0" applyFont="1" applyAlignment="1">
      <alignment horizontal="left" wrapText="1"/>
    </xf>
    <xf numFmtId="0" fontId="0" fillId="0" borderId="38" xfId="0" applyBorder="1" applyAlignment="1">
      <alignment horizontal="left"/>
    </xf>
    <xf numFmtId="0" fontId="0" fillId="0" borderId="35" xfId="0" applyBorder="1" applyAlignment="1">
      <alignment horizontal="left"/>
    </xf>
    <xf numFmtId="0" fontId="0" fillId="0" borderId="39" xfId="0" applyBorder="1" applyAlignment="1">
      <alignment horizontal="left"/>
    </xf>
    <xf numFmtId="44" fontId="0" fillId="0" borderId="38" xfId="44" applyFont="1" applyFill="1" applyBorder="1" applyAlignment="1">
      <alignment horizontal="center"/>
    </xf>
    <xf numFmtId="44" fontId="0" fillId="0" borderId="39" xfId="44" applyFont="1" applyFill="1" applyBorder="1" applyAlignment="1">
      <alignment horizontal="center"/>
    </xf>
    <xf numFmtId="0" fontId="0" fillId="0" borderId="40" xfId="0" applyFont="1" applyBorder="1" applyAlignment="1">
      <alignment horizontal="left" wrapText="1"/>
    </xf>
    <xf numFmtId="0" fontId="0" fillId="0" borderId="41" xfId="0" applyFont="1" applyBorder="1" applyAlignment="1">
      <alignment horizontal="left" wrapText="1"/>
    </xf>
    <xf numFmtId="0" fontId="0" fillId="0" borderId="42" xfId="0" applyFont="1" applyBorder="1" applyAlignment="1">
      <alignment horizontal="left" wrapText="1"/>
    </xf>
    <xf numFmtId="0" fontId="0" fillId="0" borderId="0" xfId="0" applyAlignment="1">
      <alignment horizontal="left"/>
    </xf>
    <xf numFmtId="0" fontId="0" fillId="0" borderId="43" xfId="0" applyFont="1" applyBorder="1" applyAlignment="1">
      <alignment horizontal="left" wrapText="1"/>
    </xf>
    <xf numFmtId="0" fontId="0" fillId="0" borderId="27" xfId="0" applyFont="1" applyBorder="1" applyAlignment="1">
      <alignment horizontal="left" wrapText="1"/>
    </xf>
    <xf numFmtId="0" fontId="0" fillId="0" borderId="44" xfId="0" applyFont="1" applyBorder="1" applyAlignment="1">
      <alignment horizontal="left" wrapText="1"/>
    </xf>
    <xf numFmtId="0" fontId="0" fillId="0" borderId="29" xfId="0" applyFont="1" applyBorder="1" applyAlignment="1">
      <alignment horizontal="left" wrapText="1"/>
    </xf>
    <xf numFmtId="0" fontId="0" fillId="0" borderId="25" xfId="0" applyFont="1" applyBorder="1" applyAlignment="1">
      <alignment horizontal="left" wrapText="1"/>
    </xf>
    <xf numFmtId="0" fontId="0" fillId="0" borderId="37" xfId="0" applyFont="1" applyBorder="1" applyAlignment="1">
      <alignment horizontal="left" wrapText="1"/>
    </xf>
    <xf numFmtId="0" fontId="0" fillId="0" borderId="45" xfId="0" applyBorder="1" applyAlignment="1">
      <alignment horizontal="left" wrapText="1"/>
    </xf>
    <xf numFmtId="0" fontId="0" fillId="0" borderId="46" xfId="0" applyBorder="1" applyAlignment="1">
      <alignment horizontal="left" wrapText="1"/>
    </xf>
    <xf numFmtId="0" fontId="0" fillId="0" borderId="47" xfId="0" applyBorder="1" applyAlignment="1">
      <alignment horizontal="left" wrapText="1"/>
    </xf>
    <xf numFmtId="0" fontId="0" fillId="0" borderId="0" xfId="0" applyAlignment="1">
      <alignment horizontal="center" wrapText="1"/>
    </xf>
    <xf numFmtId="0" fontId="40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2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46"/>
  <sheetViews>
    <sheetView zoomScale="115" zoomScaleNormal="115" zoomScaleSheetLayoutView="145" zoomScalePageLayoutView="115" workbookViewId="0" topLeftCell="A1">
      <selection activeCell="A1" sqref="A1"/>
    </sheetView>
  </sheetViews>
  <sheetFormatPr defaultColWidth="9.140625" defaultRowHeight="15"/>
  <cols>
    <col min="1" max="1" width="11.00390625" style="0" customWidth="1"/>
    <col min="2" max="2" width="13.421875" style="0" customWidth="1"/>
    <col min="3" max="3" width="10.00390625" style="0" customWidth="1"/>
    <col min="4" max="4" width="11.00390625" style="0" customWidth="1"/>
    <col min="5" max="5" width="9.140625" style="0" customWidth="1"/>
    <col min="6" max="6" width="9.57421875" style="0" customWidth="1"/>
  </cols>
  <sheetData>
    <row r="1" s="17" customFormat="1" ht="15"/>
    <row r="2" spans="5:12" ht="18.75">
      <c r="E2" s="68" t="s">
        <v>158</v>
      </c>
      <c r="F2" s="69"/>
      <c r="G2" s="66"/>
      <c r="H2" s="64"/>
      <c r="I2" s="66"/>
      <c r="J2" s="64"/>
      <c r="K2" s="66"/>
      <c r="L2" s="10"/>
    </row>
    <row r="3" spans="5:12" ht="15">
      <c r="E3" s="67"/>
      <c r="F3" s="10"/>
      <c r="G3" s="10"/>
      <c r="H3" s="10"/>
      <c r="I3" s="10"/>
      <c r="J3" s="10"/>
      <c r="K3" s="10"/>
      <c r="L3" s="10"/>
    </row>
    <row r="4" ht="18.75">
      <c r="A4" s="33" t="s">
        <v>97</v>
      </c>
    </row>
    <row r="5" spans="1:4" ht="15">
      <c r="A5" s="8" t="s">
        <v>98</v>
      </c>
      <c r="B5" s="62"/>
      <c r="C5" s="8" t="s">
        <v>99</v>
      </c>
      <c r="D5" s="62" t="str">
        <f>IF(B5="Yes","No",IF(B5=0," ","Yes"))</f>
        <v> </v>
      </c>
    </row>
    <row r="7" ht="18.75">
      <c r="A7" s="33" t="s">
        <v>108</v>
      </c>
    </row>
    <row r="8" ht="15">
      <c r="A8" s="59" t="s">
        <v>145</v>
      </c>
    </row>
    <row r="9" spans="1:6" ht="15">
      <c r="A9" s="128" t="s">
        <v>165</v>
      </c>
      <c r="B9" s="129"/>
      <c r="C9" s="129"/>
      <c r="D9" s="130"/>
      <c r="E9" s="131" t="s">
        <v>153</v>
      </c>
      <c r="F9" s="132"/>
    </row>
    <row r="10" spans="2:10" s="19" customFormat="1" ht="15">
      <c r="B10" s="127" t="s">
        <v>104</v>
      </c>
      <c r="C10" s="127"/>
      <c r="D10" s="127"/>
      <c r="E10" s="127"/>
      <c r="F10" s="127"/>
      <c r="G10" s="127"/>
      <c r="H10" s="127"/>
      <c r="I10" s="127"/>
      <c r="J10" s="127"/>
    </row>
    <row r="11" spans="2:10" s="19" customFormat="1" ht="15">
      <c r="B11" s="127" t="s">
        <v>177</v>
      </c>
      <c r="C11" s="127"/>
      <c r="D11" s="127"/>
      <c r="E11" s="127"/>
      <c r="F11" s="127"/>
      <c r="G11" s="127"/>
      <c r="H11" s="127"/>
      <c r="I11" s="127"/>
      <c r="J11" s="127"/>
    </row>
    <row r="12" spans="2:10" s="19" customFormat="1" ht="15">
      <c r="B12" s="127" t="s">
        <v>176</v>
      </c>
      <c r="C12" s="127"/>
      <c r="D12" s="127"/>
      <c r="E12" s="127"/>
      <c r="F12" s="127"/>
      <c r="G12" s="127"/>
      <c r="H12" s="127"/>
      <c r="I12" s="127"/>
      <c r="J12" s="127"/>
    </row>
    <row r="14" ht="15">
      <c r="A14" t="s">
        <v>170</v>
      </c>
    </row>
    <row r="15" spans="1:8" s="7" customFormat="1" ht="15" customHeight="1">
      <c r="A15" s="12"/>
      <c r="B15" s="15" t="s">
        <v>171</v>
      </c>
      <c r="C15" s="9"/>
      <c r="D15" s="14"/>
      <c r="E15" s="14"/>
      <c r="F15" s="14"/>
      <c r="G15" s="13"/>
      <c r="H15" s="12"/>
    </row>
    <row r="16" spans="2:11" ht="15">
      <c r="B16" s="11" t="s">
        <v>159</v>
      </c>
      <c r="C16" s="128" t="s">
        <v>148</v>
      </c>
      <c r="D16" s="129"/>
      <c r="E16" s="129"/>
      <c r="F16" s="129"/>
      <c r="G16" s="129"/>
      <c r="H16" s="130"/>
      <c r="I16" s="52"/>
      <c r="J16" s="10" t="s">
        <v>100</v>
      </c>
      <c r="K16" s="10"/>
    </row>
    <row r="17" spans="1:12" s="17" customFormat="1" ht="29.25" customHeight="1">
      <c r="A17" s="45"/>
      <c r="B17" s="21"/>
      <c r="C17" s="124" t="s">
        <v>169</v>
      </c>
      <c r="D17" s="124"/>
      <c r="E17" s="124"/>
      <c r="F17" s="124"/>
      <c r="G17" s="124"/>
      <c r="H17" s="124"/>
      <c r="I17" s="124"/>
      <c r="J17" s="124"/>
      <c r="K17" s="79"/>
      <c r="L17" s="79"/>
    </row>
    <row r="18" spans="1:12" s="17" customFormat="1" ht="29.25" customHeight="1">
      <c r="A18" s="45"/>
      <c r="B18" s="21"/>
      <c r="C18" s="124" t="s">
        <v>168</v>
      </c>
      <c r="D18" s="124"/>
      <c r="E18" s="124"/>
      <c r="F18" s="124"/>
      <c r="G18" s="124"/>
      <c r="H18" s="124"/>
      <c r="I18" s="124"/>
      <c r="J18" s="124"/>
      <c r="K18" s="79"/>
      <c r="L18" s="79"/>
    </row>
    <row r="19" spans="2:11" ht="15">
      <c r="B19" s="11" t="s">
        <v>160</v>
      </c>
      <c r="C19" s="128" t="s">
        <v>149</v>
      </c>
      <c r="D19" s="129"/>
      <c r="E19" s="129"/>
      <c r="F19" s="129"/>
      <c r="G19" s="129"/>
      <c r="H19" s="130"/>
      <c r="I19" s="52">
        <f>100-I16</f>
        <v>100</v>
      </c>
      <c r="J19" s="10" t="s">
        <v>100</v>
      </c>
      <c r="K19" s="10"/>
    </row>
    <row r="20" spans="1:12" s="17" customFormat="1" ht="15">
      <c r="A20" s="45"/>
      <c r="B20" s="21"/>
      <c r="C20" s="125" t="s">
        <v>105</v>
      </c>
      <c r="D20" s="125"/>
      <c r="E20" s="125"/>
      <c r="F20" s="125"/>
      <c r="G20" s="125"/>
      <c r="H20" s="125"/>
      <c r="I20" s="125"/>
      <c r="J20" s="125"/>
      <c r="K20" s="80"/>
      <c r="L20" s="80"/>
    </row>
    <row r="21" spans="1:12" s="17" customFormat="1" ht="15" customHeight="1">
      <c r="A21" s="45"/>
      <c r="B21" s="21"/>
      <c r="C21" s="126" t="s">
        <v>106</v>
      </c>
      <c r="D21" s="126"/>
      <c r="E21" s="126"/>
      <c r="F21" s="126"/>
      <c r="G21" s="126"/>
      <c r="H21" s="126"/>
      <c r="I21" s="126"/>
      <c r="J21" s="126"/>
      <c r="K21" s="81"/>
      <c r="L21" s="81"/>
    </row>
    <row r="22" spans="1:11" ht="15" customHeight="1">
      <c r="A22" s="10"/>
      <c r="B22" s="60" t="s">
        <v>107</v>
      </c>
      <c r="C22" s="123" t="s">
        <v>120</v>
      </c>
      <c r="D22" s="123"/>
      <c r="E22" s="123"/>
      <c r="F22" s="123"/>
      <c r="G22" s="123"/>
      <c r="H22" s="123"/>
      <c r="I22" s="123"/>
      <c r="J22" s="123"/>
      <c r="K22" s="55"/>
    </row>
    <row r="23" spans="2:11" ht="15">
      <c r="B23" s="16"/>
      <c r="C23" s="123"/>
      <c r="D23" s="123"/>
      <c r="E23" s="123"/>
      <c r="F23" s="123"/>
      <c r="G23" s="123"/>
      <c r="H23" s="123"/>
      <c r="I23" s="123"/>
      <c r="J23" s="123"/>
      <c r="K23" s="55"/>
    </row>
    <row r="24" spans="2:11" ht="15">
      <c r="B24" s="16"/>
      <c r="C24" s="123"/>
      <c r="D24" s="123"/>
      <c r="E24" s="123"/>
      <c r="F24" s="123"/>
      <c r="G24" s="123"/>
      <c r="H24" s="123"/>
      <c r="I24" s="123"/>
      <c r="J24" s="123"/>
      <c r="K24" s="55"/>
    </row>
    <row r="25" s="7" customFormat="1" ht="15"/>
    <row r="26" ht="18.75">
      <c r="A26" s="33" t="s">
        <v>109</v>
      </c>
    </row>
    <row r="28" ht="15.75" thickBot="1">
      <c r="A28" t="s">
        <v>172</v>
      </c>
    </row>
    <row r="29" spans="3:5" ht="15">
      <c r="C29" s="102" t="s">
        <v>178</v>
      </c>
      <c r="D29" s="103"/>
      <c r="E29" s="37" t="s">
        <v>103</v>
      </c>
    </row>
    <row r="30" spans="3:5" ht="15">
      <c r="C30" s="104" t="s">
        <v>110</v>
      </c>
      <c r="D30" s="105"/>
      <c r="E30" s="26">
        <v>6</v>
      </c>
    </row>
    <row r="31" spans="3:5" ht="15.75" thickBot="1">
      <c r="C31" s="104" t="s">
        <v>134</v>
      </c>
      <c r="D31" s="105"/>
      <c r="E31" s="26">
        <v>3</v>
      </c>
    </row>
    <row r="32" spans="3:10" ht="15.75" thickBot="1">
      <c r="C32" s="111" t="s">
        <v>135</v>
      </c>
      <c r="D32" s="112"/>
      <c r="E32" s="31">
        <v>0</v>
      </c>
      <c r="H32" s="106" t="s">
        <v>113</v>
      </c>
      <c r="I32" s="107"/>
      <c r="J32" s="23">
        <f>IF(E9&lt;=Costs!B3,Costs!C3,IF(E9&lt;=Costs!B4,Costs!C4,Costs!C5))</f>
        <v>0</v>
      </c>
    </row>
    <row r="34" ht="15.75" thickBot="1">
      <c r="A34" t="s">
        <v>164</v>
      </c>
    </row>
    <row r="35" spans="2:11" ht="45.75" thickBot="1">
      <c r="B35" s="113" t="s">
        <v>173</v>
      </c>
      <c r="C35" s="114"/>
      <c r="D35" s="115"/>
      <c r="E35" s="39" t="s">
        <v>174</v>
      </c>
      <c r="F35" s="40" t="s">
        <v>101</v>
      </c>
      <c r="G35" s="40" t="s">
        <v>102</v>
      </c>
      <c r="H35" s="41" t="s">
        <v>144</v>
      </c>
      <c r="I35" s="39" t="s">
        <v>121</v>
      </c>
      <c r="J35" s="42" t="s">
        <v>122</v>
      </c>
      <c r="K35" s="57"/>
    </row>
    <row r="36" spans="2:11" ht="30" customHeight="1">
      <c r="B36" s="119" t="s">
        <v>161</v>
      </c>
      <c r="C36" s="120"/>
      <c r="D36" s="121"/>
      <c r="E36" s="82">
        <f>I16/100</f>
        <v>0</v>
      </c>
      <c r="F36" s="46" t="e">
        <f>VLOOKUP($F$2,Guardrail!$A:$P,10,FALSE)</f>
        <v>#N/A</v>
      </c>
      <c r="G36" s="47" t="e">
        <f>VLOOKUP($F$2,Guardrail!$A:$P,9,FALSE)</f>
        <v>#N/A</v>
      </c>
      <c r="H36" s="94">
        <v>1</v>
      </c>
      <c r="I36" s="48" t="e">
        <f>(1+G36)*F36*E36/2*H36</f>
        <v>#N/A</v>
      </c>
      <c r="J36" s="49">
        <f>88*E36</f>
        <v>0</v>
      </c>
      <c r="K36" s="58"/>
    </row>
    <row r="37" spans="2:11" ht="15.75" thickBot="1">
      <c r="B37" s="116" t="s">
        <v>162</v>
      </c>
      <c r="C37" s="117"/>
      <c r="D37" s="118"/>
      <c r="E37" s="83">
        <f>I19/100</f>
        <v>1</v>
      </c>
      <c r="F37" s="50" t="e">
        <f>VLOOKUP($F$2,Guardrail!$A:$P,16,FALSE)</f>
        <v>#N/A</v>
      </c>
      <c r="G37" s="51" t="e">
        <f>VLOOKUP($F$2,Guardrail!$A:$P,15,FALSE)</f>
        <v>#N/A</v>
      </c>
      <c r="H37" s="95">
        <v>0.6</v>
      </c>
      <c r="I37" s="70" t="e">
        <f>(1+G37)*F37*E37/2*H37</f>
        <v>#N/A</v>
      </c>
      <c r="J37" s="71">
        <f>88*E37</f>
        <v>88</v>
      </c>
      <c r="K37" s="58"/>
    </row>
    <row r="38" spans="7:11" ht="15.75" thickBot="1">
      <c r="G38" s="122" t="s">
        <v>116</v>
      </c>
      <c r="H38" s="122"/>
      <c r="I38" s="43" t="e">
        <f>SUM(I36:I37)</f>
        <v>#N/A</v>
      </c>
      <c r="J38" s="44">
        <f>SUM(J36:J37)</f>
        <v>88</v>
      </c>
      <c r="K38" s="56"/>
    </row>
    <row r="39" spans="2:9" ht="15.75" thickBot="1">
      <c r="B39" s="109" t="s">
        <v>179</v>
      </c>
      <c r="C39" s="109"/>
      <c r="D39" s="109"/>
      <c r="E39" s="109"/>
      <c r="I39" s="10"/>
    </row>
    <row r="40" spans="2:10" ht="15.75" thickBot="1">
      <c r="B40" s="109"/>
      <c r="C40" s="109"/>
      <c r="D40" s="109"/>
      <c r="E40" s="109"/>
      <c r="H40" s="106" t="s">
        <v>113</v>
      </c>
      <c r="I40" s="106"/>
      <c r="J40" s="78" t="e">
        <f>ROUND(I38,2)</f>
        <v>#N/A</v>
      </c>
    </row>
    <row r="41" ht="15.75" thickBot="1"/>
    <row r="42" spans="5:6" ht="19.5" thickBot="1">
      <c r="E42" s="34" t="s">
        <v>117</v>
      </c>
      <c r="F42" s="35" t="e">
        <f>SUM(J40,J32)</f>
        <v>#N/A</v>
      </c>
    </row>
    <row r="45" spans="3:12" ht="21">
      <c r="C45" s="36" t="s">
        <v>119</v>
      </c>
      <c r="D45" s="108"/>
      <c r="E45" s="108"/>
      <c r="F45" s="108"/>
      <c r="G45" s="108"/>
      <c r="H45" s="108"/>
      <c r="I45" s="108"/>
      <c r="J45" s="108"/>
      <c r="K45" s="63"/>
      <c r="L45" s="63"/>
    </row>
    <row r="46" spans="3:12" ht="21">
      <c r="C46" s="36" t="s">
        <v>118</v>
      </c>
      <c r="D46" s="110"/>
      <c r="E46" s="110"/>
      <c r="F46" s="110"/>
      <c r="G46" s="110"/>
      <c r="H46" s="110"/>
      <c r="I46" s="110"/>
      <c r="J46" s="110"/>
      <c r="K46" s="63"/>
      <c r="L46" s="63"/>
    </row>
  </sheetData>
  <sheetProtection/>
  <mergeCells count="25">
    <mergeCell ref="B11:J11"/>
    <mergeCell ref="B10:J10"/>
    <mergeCell ref="A9:D9"/>
    <mergeCell ref="E9:F9"/>
    <mergeCell ref="C16:H16"/>
    <mergeCell ref="C19:H19"/>
    <mergeCell ref="C22:J24"/>
    <mergeCell ref="C18:J18"/>
    <mergeCell ref="C17:J17"/>
    <mergeCell ref="C20:J20"/>
    <mergeCell ref="C21:J21"/>
    <mergeCell ref="B12:J12"/>
    <mergeCell ref="D46:J46"/>
    <mergeCell ref="C31:D31"/>
    <mergeCell ref="C32:D32"/>
    <mergeCell ref="B35:D35"/>
    <mergeCell ref="B37:D37"/>
    <mergeCell ref="B36:D36"/>
    <mergeCell ref="G38:H38"/>
    <mergeCell ref="C29:D29"/>
    <mergeCell ref="C30:D30"/>
    <mergeCell ref="H32:I32"/>
    <mergeCell ref="H40:I40"/>
    <mergeCell ref="D45:J45"/>
    <mergeCell ref="B39:E40"/>
  </mergeCells>
  <conditionalFormatting sqref="F2">
    <cfRule type="cellIs" priority="7" dxfId="0" operator="equal">
      <formula>0</formula>
    </cfRule>
  </conditionalFormatting>
  <conditionalFormatting sqref="B5 E9:F9 I16">
    <cfRule type="cellIs" priority="5" dxfId="0" operator="equal">
      <formula>0</formula>
    </cfRule>
  </conditionalFormatting>
  <conditionalFormatting sqref="E9:F9">
    <cfRule type="cellIs" priority="4" dxfId="0" operator="equal">
      <formula>"$"</formula>
    </cfRule>
  </conditionalFormatting>
  <dataValidations count="2">
    <dataValidation type="list" allowBlank="1" showInputMessage="1" showErrorMessage="1" sqref="F2">
      <formula1>County</formula1>
    </dataValidation>
    <dataValidation type="list" allowBlank="1" showInputMessage="1" showErrorMessage="1" sqref="B5">
      <formula1>Select</formula1>
    </dataValidation>
  </dataValidations>
  <printOptions horizontalCentered="1"/>
  <pageMargins left="0.7" right="0.7" top="0.75" bottom="0.75" header="0.3" footer="0.3"/>
  <pageSetup fitToHeight="1" fitToWidth="1" horizontalDpi="600" verticalDpi="600" orientation="portrait" scale="86" r:id="rId2"/>
  <headerFooter>
    <oddHeader>&amp;L&amp;G&amp;C&amp;"-,Bold"&amp;20Guardrail Funding Application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6"/>
  <sheetViews>
    <sheetView zoomScale="115" zoomScaleNormal="115" zoomScaleSheetLayoutView="145" workbookViewId="0" topLeftCell="A1">
      <selection activeCell="A1" sqref="A1"/>
    </sheetView>
  </sheetViews>
  <sheetFormatPr defaultColWidth="9.140625" defaultRowHeight="15"/>
  <cols>
    <col min="1" max="1" width="11.00390625" style="0" customWidth="1"/>
    <col min="2" max="2" width="13.421875" style="0" customWidth="1"/>
    <col min="3" max="3" width="10.00390625" style="0" customWidth="1"/>
    <col min="4" max="4" width="11.00390625" style="0" customWidth="1"/>
    <col min="5" max="5" width="10.8515625" style="0" customWidth="1"/>
    <col min="6" max="6" width="12.57421875" style="0" customWidth="1"/>
  </cols>
  <sheetData>
    <row r="1" s="17" customFormat="1" ht="15">
      <c r="C1" s="24"/>
    </row>
    <row r="2" spans="4:6" ht="18.75">
      <c r="D2" s="53"/>
      <c r="E2" s="68" t="s">
        <v>158</v>
      </c>
      <c r="F2" s="69"/>
    </row>
    <row r="4" ht="18.75">
      <c r="A4" s="33" t="s">
        <v>97</v>
      </c>
    </row>
    <row r="5" spans="1:4" ht="15">
      <c r="A5" s="8" t="s">
        <v>98</v>
      </c>
      <c r="B5" s="62"/>
      <c r="C5" s="8" t="s">
        <v>99</v>
      </c>
      <c r="D5" s="62" t="str">
        <f>IF(B5="Yes","No",IF(B5=0," ","Yes"))</f>
        <v> </v>
      </c>
    </row>
    <row r="7" ht="18.75">
      <c r="A7" s="33" t="s">
        <v>108</v>
      </c>
    </row>
    <row r="8" ht="15">
      <c r="A8" s="85" t="s">
        <v>146</v>
      </c>
    </row>
    <row r="9" spans="1:6" ht="15">
      <c r="A9" s="128" t="s">
        <v>166</v>
      </c>
      <c r="B9" s="129"/>
      <c r="C9" s="129"/>
      <c r="D9" s="130"/>
      <c r="E9" s="131" t="s">
        <v>153</v>
      </c>
      <c r="F9" s="132"/>
    </row>
    <row r="10" spans="2:10" s="19" customFormat="1" ht="15">
      <c r="B10" s="127" t="s">
        <v>104</v>
      </c>
      <c r="C10" s="127"/>
      <c r="D10" s="127"/>
      <c r="E10" s="127"/>
      <c r="F10" s="127"/>
      <c r="G10" s="127"/>
      <c r="H10" s="127"/>
      <c r="I10" s="127"/>
      <c r="J10" s="127"/>
    </row>
    <row r="11" spans="2:10" s="19" customFormat="1" ht="15" customHeight="1">
      <c r="B11" s="127" t="s">
        <v>177</v>
      </c>
      <c r="C11" s="127"/>
      <c r="D11" s="127"/>
      <c r="E11" s="127"/>
      <c r="F11" s="127"/>
      <c r="G11" s="127"/>
      <c r="H11" s="127"/>
      <c r="I11" s="127"/>
      <c r="J11" s="127"/>
    </row>
    <row r="12" spans="2:10" s="19" customFormat="1" ht="15">
      <c r="B12" s="127" t="s">
        <v>176</v>
      </c>
      <c r="C12" s="127"/>
      <c r="D12" s="127"/>
      <c r="E12" s="127"/>
      <c r="F12" s="127"/>
      <c r="G12" s="127"/>
      <c r="H12" s="127"/>
      <c r="I12" s="127"/>
      <c r="J12" s="127"/>
    </row>
    <row r="14" ht="15">
      <c r="A14" t="s">
        <v>170</v>
      </c>
    </row>
    <row r="15" spans="1:8" s="7" customFormat="1" ht="15" customHeight="1">
      <c r="A15" s="12"/>
      <c r="B15" s="15" t="s">
        <v>171</v>
      </c>
      <c r="C15" s="9"/>
      <c r="D15" s="14"/>
      <c r="E15" s="14"/>
      <c r="F15" s="14"/>
      <c r="G15" s="13"/>
      <c r="H15" s="12"/>
    </row>
    <row r="16" spans="2:9" ht="15">
      <c r="B16" s="11" t="s">
        <v>159</v>
      </c>
      <c r="C16" s="128" t="s">
        <v>124</v>
      </c>
      <c r="D16" s="129"/>
      <c r="E16" s="129"/>
      <c r="F16" s="129"/>
      <c r="G16" s="130"/>
      <c r="H16" s="52"/>
      <c r="I16" s="10" t="s">
        <v>100</v>
      </c>
    </row>
    <row r="17" spans="1:12" s="18" customFormat="1" ht="15">
      <c r="A17" s="22"/>
      <c r="B17" s="20"/>
      <c r="C17" s="126" t="s">
        <v>126</v>
      </c>
      <c r="D17" s="126"/>
      <c r="E17" s="126"/>
      <c r="F17" s="126"/>
      <c r="G17" s="126"/>
      <c r="H17" s="126"/>
      <c r="I17" s="126"/>
      <c r="J17" s="126"/>
      <c r="K17" s="81"/>
      <c r="L17" s="81"/>
    </row>
    <row r="18" spans="1:12" s="18" customFormat="1" ht="15">
      <c r="A18" s="22"/>
      <c r="B18" s="11" t="s">
        <v>160</v>
      </c>
      <c r="C18" s="128" t="s">
        <v>180</v>
      </c>
      <c r="D18" s="129"/>
      <c r="E18" s="129"/>
      <c r="F18" s="129"/>
      <c r="G18" s="130"/>
      <c r="H18" s="52"/>
      <c r="I18" s="10" t="s">
        <v>100</v>
      </c>
      <c r="J18"/>
      <c r="K18" s="81"/>
      <c r="L18" s="81"/>
    </row>
    <row r="19" spans="1:12" s="18" customFormat="1" ht="15">
      <c r="A19" s="22"/>
      <c r="B19" s="20"/>
      <c r="C19" s="126" t="s">
        <v>182</v>
      </c>
      <c r="D19" s="126"/>
      <c r="E19" s="126"/>
      <c r="F19" s="126"/>
      <c r="G19" s="126"/>
      <c r="H19" s="126"/>
      <c r="I19" s="126"/>
      <c r="J19" s="126"/>
      <c r="K19" s="81"/>
      <c r="L19" s="81"/>
    </row>
    <row r="20" spans="1:12" s="18" customFormat="1" ht="15">
      <c r="A20" s="22"/>
      <c r="B20" s="20"/>
      <c r="C20" s="124" t="s">
        <v>187</v>
      </c>
      <c r="D20" s="124"/>
      <c r="E20" s="124"/>
      <c r="F20" s="124"/>
      <c r="G20" s="124"/>
      <c r="H20" s="124"/>
      <c r="I20" s="124"/>
      <c r="J20" s="124"/>
      <c r="K20" s="81"/>
      <c r="L20" s="81"/>
    </row>
    <row r="21" spans="1:12" s="18" customFormat="1" ht="15">
      <c r="A21" s="22"/>
      <c r="B21" s="20"/>
      <c r="C21" s="124"/>
      <c r="D21" s="124"/>
      <c r="E21" s="124"/>
      <c r="F21" s="124"/>
      <c r="G21" s="124"/>
      <c r="H21" s="124"/>
      <c r="I21" s="124"/>
      <c r="J21" s="124"/>
      <c r="K21" s="81"/>
      <c r="L21" s="81"/>
    </row>
    <row r="22" spans="1:12" s="18" customFormat="1" ht="15">
      <c r="A22" s="97"/>
      <c r="B22" s="97"/>
      <c r="C22" s="124" t="s">
        <v>186</v>
      </c>
      <c r="D22" s="124"/>
      <c r="E22" s="124"/>
      <c r="F22" s="124"/>
      <c r="G22" s="124"/>
      <c r="H22" s="124"/>
      <c r="I22" s="124"/>
      <c r="J22" s="124"/>
      <c r="K22" s="81"/>
      <c r="L22" s="81"/>
    </row>
    <row r="23" spans="1:12" s="18" customFormat="1" ht="15">
      <c r="A23" s="97"/>
      <c r="B23" s="97"/>
      <c r="C23" s="124" t="s">
        <v>188</v>
      </c>
      <c r="D23" s="124"/>
      <c r="E23" s="124"/>
      <c r="F23" s="124"/>
      <c r="G23" s="124"/>
      <c r="H23" s="124"/>
      <c r="I23" s="124"/>
      <c r="J23" s="124"/>
      <c r="K23" s="81"/>
      <c r="L23" s="81"/>
    </row>
    <row r="24" spans="2:9" ht="15">
      <c r="B24" s="11" t="s">
        <v>184</v>
      </c>
      <c r="C24" s="128" t="s">
        <v>125</v>
      </c>
      <c r="D24" s="129"/>
      <c r="E24" s="129"/>
      <c r="F24" s="129"/>
      <c r="G24" s="130"/>
      <c r="H24" s="52"/>
      <c r="I24" s="10" t="s">
        <v>100</v>
      </c>
    </row>
    <row r="25" spans="1:12" s="18" customFormat="1" ht="15">
      <c r="A25" s="22"/>
      <c r="B25" s="20"/>
      <c r="C25" s="126" t="s">
        <v>139</v>
      </c>
      <c r="D25" s="126"/>
      <c r="E25" s="126"/>
      <c r="F25" s="126"/>
      <c r="G25" s="126"/>
      <c r="H25" s="126"/>
      <c r="I25" s="126"/>
      <c r="J25" s="126"/>
      <c r="K25" s="81"/>
      <c r="L25" s="81"/>
    </row>
    <row r="26" spans="1:12" s="18" customFormat="1" ht="15">
      <c r="A26" s="22"/>
      <c r="B26" s="11" t="s">
        <v>185</v>
      </c>
      <c r="C26" s="128" t="s">
        <v>181</v>
      </c>
      <c r="D26" s="129"/>
      <c r="E26" s="129"/>
      <c r="F26" s="129"/>
      <c r="G26" s="130"/>
      <c r="H26" s="52">
        <f>IF(H16="","",100-H18-H24-H16)</f>
      </c>
      <c r="I26" s="10" t="s">
        <v>100</v>
      </c>
      <c r="J26"/>
      <c r="K26" s="81"/>
      <c r="L26" s="81"/>
    </row>
    <row r="27" spans="1:12" s="18" customFormat="1" ht="15">
      <c r="A27" s="22"/>
      <c r="B27" s="20"/>
      <c r="C27" s="126" t="s">
        <v>183</v>
      </c>
      <c r="D27" s="126"/>
      <c r="E27" s="126"/>
      <c r="F27" s="126"/>
      <c r="G27" s="126"/>
      <c r="H27" s="126"/>
      <c r="I27" s="126"/>
      <c r="J27" s="126"/>
      <c r="K27" s="81"/>
      <c r="L27" s="81"/>
    </row>
    <row r="28" spans="1:11" ht="15" customHeight="1">
      <c r="A28" s="10"/>
      <c r="B28" s="60" t="s">
        <v>107</v>
      </c>
      <c r="C28" s="123" t="s">
        <v>127</v>
      </c>
      <c r="D28" s="123"/>
      <c r="E28" s="123"/>
      <c r="F28" s="123"/>
      <c r="G28" s="123"/>
      <c r="H28" s="123"/>
      <c r="I28" s="123"/>
      <c r="J28" s="123"/>
      <c r="K28" s="55"/>
    </row>
    <row r="29" spans="2:11" ht="15">
      <c r="B29" s="16"/>
      <c r="C29" s="123"/>
      <c r="D29" s="123"/>
      <c r="E29" s="123"/>
      <c r="F29" s="123"/>
      <c r="G29" s="123"/>
      <c r="H29" s="123"/>
      <c r="I29" s="123"/>
      <c r="J29" s="123"/>
      <c r="K29" s="55"/>
    </row>
    <row r="30" spans="2:11" ht="15">
      <c r="B30" s="16"/>
      <c r="C30" s="123"/>
      <c r="D30" s="123"/>
      <c r="E30" s="123"/>
      <c r="F30" s="123"/>
      <c r="G30" s="123"/>
      <c r="H30" s="123"/>
      <c r="I30" s="123"/>
      <c r="J30" s="123"/>
      <c r="K30" s="55"/>
    </row>
    <row r="31" s="7" customFormat="1" ht="15"/>
    <row r="32" ht="18.75">
      <c r="A32" s="33" t="s">
        <v>143</v>
      </c>
    </row>
    <row r="34" ht="15.75" thickBot="1">
      <c r="A34" t="s">
        <v>172</v>
      </c>
    </row>
    <row r="35" spans="3:5" ht="15">
      <c r="C35" s="102" t="s">
        <v>178</v>
      </c>
      <c r="D35" s="103"/>
      <c r="E35" s="37" t="s">
        <v>103</v>
      </c>
    </row>
    <row r="36" spans="3:5" ht="15">
      <c r="C36" s="104" t="s">
        <v>131</v>
      </c>
      <c r="D36" s="105"/>
      <c r="E36" s="26">
        <v>6</v>
      </c>
    </row>
    <row r="37" spans="3:5" ht="15.75" thickBot="1">
      <c r="C37" s="104" t="s">
        <v>133</v>
      </c>
      <c r="D37" s="105"/>
      <c r="E37" s="26">
        <v>3</v>
      </c>
    </row>
    <row r="38" spans="3:10" ht="15.75" thickBot="1">
      <c r="C38" s="111" t="s">
        <v>132</v>
      </c>
      <c r="D38" s="112"/>
      <c r="E38" s="31">
        <v>0</v>
      </c>
      <c r="H38" s="106" t="s">
        <v>113</v>
      </c>
      <c r="I38" s="106"/>
      <c r="J38" s="23">
        <f>IF(E9&lt;=Costs!B9,Costs!C9,IF(E9&lt;=Costs!B10,Costs!C10,Costs!C11))</f>
        <v>0</v>
      </c>
    </row>
    <row r="39" spans="3:4" ht="15">
      <c r="C39" s="136"/>
      <c r="D39" s="136"/>
    </row>
    <row r="41" ht="15.75" thickBot="1">
      <c r="A41" t="s">
        <v>164</v>
      </c>
    </row>
    <row r="42" spans="2:11" ht="45.75" thickBot="1">
      <c r="B42" s="113" t="s">
        <v>173</v>
      </c>
      <c r="C42" s="114"/>
      <c r="D42" s="115"/>
      <c r="E42" s="65" t="s">
        <v>174</v>
      </c>
      <c r="F42" s="40" t="s">
        <v>101</v>
      </c>
      <c r="G42" s="40" t="s">
        <v>102</v>
      </c>
      <c r="H42" s="40" t="s">
        <v>144</v>
      </c>
      <c r="I42" s="39" t="s">
        <v>121</v>
      </c>
      <c r="J42" s="42" t="s">
        <v>122</v>
      </c>
      <c r="K42" s="57"/>
    </row>
    <row r="43" spans="2:11" ht="15">
      <c r="B43" s="140" t="str">
        <f>B16&amp;" "&amp;C16</f>
        <v>Category 1:  Pavement Markings - New</v>
      </c>
      <c r="C43" s="141"/>
      <c r="D43" s="142"/>
      <c r="E43" s="82">
        <f>H16/100</f>
        <v>0</v>
      </c>
      <c r="F43" s="46" t="e">
        <f>VLOOKUP($F$2,PMarkings!$A$4:$J$91,10,FALSE)</f>
        <v>#N/A</v>
      </c>
      <c r="G43" s="47" t="e">
        <f>VLOOKUP($F$2,PMarkings!$A$4:$J$91,9,FALSE)/100</f>
        <v>#N/A</v>
      </c>
      <c r="H43" s="91">
        <v>1</v>
      </c>
      <c r="I43" s="72" t="e">
        <f>(1+G43)*F43*E43/2*H43</f>
        <v>#N/A</v>
      </c>
      <c r="J43" s="49">
        <f>88*E43</f>
        <v>0</v>
      </c>
      <c r="K43" s="61"/>
    </row>
    <row r="44" spans="2:11" ht="31.5" customHeight="1">
      <c r="B44" s="137" t="str">
        <f>B18&amp;" "&amp;C18</f>
        <v>Category 2:  Pavement Markings - Edgeline Rumble Stripe</v>
      </c>
      <c r="C44" s="138"/>
      <c r="D44" s="139"/>
      <c r="E44" s="86">
        <f>H18/100</f>
        <v>0</v>
      </c>
      <c r="F44" s="87" t="e">
        <f>VLOOKUP($F$2,PMarkings!$A$4:$J$91,10,FALSE)</f>
        <v>#N/A</v>
      </c>
      <c r="G44" s="88" t="e">
        <f>VLOOKUP($F$2,PMarkings!$A$4:$J$91,9,FALSE)/100</f>
        <v>#N/A</v>
      </c>
      <c r="H44" s="92">
        <v>1.2</v>
      </c>
      <c r="I44" s="89" t="e">
        <f>(1+G44)*F44*E44/2*H44</f>
        <v>#N/A</v>
      </c>
      <c r="J44" s="90">
        <f>88*E44</f>
        <v>0</v>
      </c>
      <c r="K44" s="61"/>
    </row>
    <row r="45" spans="2:11" ht="31.5" customHeight="1">
      <c r="B45" s="137" t="str">
        <f>B24&amp;" "&amp;C24</f>
        <v>Category 3:  Pavement Markings - Upgrade</v>
      </c>
      <c r="C45" s="138"/>
      <c r="D45" s="139"/>
      <c r="E45" s="86">
        <f>H24/100</f>
        <v>0</v>
      </c>
      <c r="F45" s="87" t="e">
        <f>VLOOKUP($F$2,PMarkings!$A$4:$J$91,10,FALSE)</f>
        <v>#N/A</v>
      </c>
      <c r="G45" s="88" t="e">
        <f>VLOOKUP($F$2,PMarkings!$A$4:$J$91,9,FALSE)/100</f>
        <v>#N/A</v>
      </c>
      <c r="H45" s="92">
        <v>0.6</v>
      </c>
      <c r="I45" s="89" t="e">
        <f>(1+G45)*F45*E45/2*H45</f>
        <v>#N/A</v>
      </c>
      <c r="J45" s="90">
        <f>88*E45</f>
        <v>0</v>
      </c>
      <c r="K45" s="61"/>
    </row>
    <row r="46" spans="2:11" ht="31.5" customHeight="1" thickBot="1">
      <c r="B46" s="133" t="str">
        <f>B26&amp;" "&amp;C26</f>
        <v>Category 4:  Pavement Markings - Upgrade Wider Markings</v>
      </c>
      <c r="C46" s="134"/>
      <c r="D46" s="135"/>
      <c r="E46" s="83" t="e">
        <f>H26/100</f>
        <v>#VALUE!</v>
      </c>
      <c r="F46" s="50" t="e">
        <f>VLOOKUP($F$2,PMarkings!$A$4:$J$91,10,FALSE)</f>
        <v>#N/A</v>
      </c>
      <c r="G46" s="51" t="e">
        <f>VLOOKUP($F$2,PMarkings!$A$4:$J$91,9,FALSE)/100</f>
        <v>#N/A</v>
      </c>
      <c r="H46" s="93">
        <v>0.8</v>
      </c>
      <c r="I46" s="73" t="e">
        <f>(1+G46)*F46*E46/2*H46</f>
        <v>#N/A</v>
      </c>
      <c r="J46" s="71" t="e">
        <f>88*E46</f>
        <v>#VALUE!</v>
      </c>
      <c r="K46" s="61"/>
    </row>
    <row r="47" spans="7:11" ht="15.75" thickBot="1">
      <c r="G47" s="122" t="s">
        <v>116</v>
      </c>
      <c r="H47" s="122"/>
      <c r="I47" s="43" t="e">
        <f>SUM(I43:I46)</f>
        <v>#N/A</v>
      </c>
      <c r="J47" s="44" t="e">
        <f>SUM(J43:J46)</f>
        <v>#VALUE!</v>
      </c>
      <c r="K47" s="56"/>
    </row>
    <row r="48" spans="2:5" ht="15.75" thickBot="1">
      <c r="B48" s="109" t="s">
        <v>179</v>
      </c>
      <c r="C48" s="109"/>
      <c r="D48" s="109"/>
      <c r="E48" s="109"/>
    </row>
    <row r="49" spans="2:10" ht="15.75" thickBot="1">
      <c r="B49" s="109"/>
      <c r="C49" s="109"/>
      <c r="D49" s="109"/>
      <c r="E49" s="109"/>
      <c r="H49" s="106" t="s">
        <v>113</v>
      </c>
      <c r="I49" s="106"/>
      <c r="J49" s="78" t="e">
        <f>ROUND(I47,2)</f>
        <v>#N/A</v>
      </c>
    </row>
    <row r="51" ht="15.75" thickBot="1"/>
    <row r="52" spans="5:6" ht="19.5" thickBot="1">
      <c r="E52" s="34" t="s">
        <v>117</v>
      </c>
      <c r="F52" s="35" t="e">
        <f>SUM(J49,J38)</f>
        <v>#N/A</v>
      </c>
    </row>
    <row r="55" spans="3:12" ht="21">
      <c r="C55" s="36" t="s">
        <v>119</v>
      </c>
      <c r="D55" s="108"/>
      <c r="E55" s="108"/>
      <c r="F55" s="108"/>
      <c r="G55" s="108"/>
      <c r="H55" s="108"/>
      <c r="I55" s="108"/>
      <c r="J55" s="108"/>
      <c r="K55" s="63"/>
      <c r="L55" s="63"/>
    </row>
    <row r="56" spans="3:12" ht="21">
      <c r="C56" s="36" t="s">
        <v>118</v>
      </c>
      <c r="D56" s="110"/>
      <c r="E56" s="110"/>
      <c r="F56" s="110"/>
      <c r="G56" s="110"/>
      <c r="H56" s="110"/>
      <c r="I56" s="110"/>
      <c r="J56" s="110"/>
      <c r="K56" s="63"/>
      <c r="L56" s="63"/>
    </row>
  </sheetData>
  <sheetProtection/>
  <mergeCells count="33">
    <mergeCell ref="C16:G16"/>
    <mergeCell ref="C24:G24"/>
    <mergeCell ref="B48:E49"/>
    <mergeCell ref="B42:D42"/>
    <mergeCell ref="B43:D43"/>
    <mergeCell ref="B45:D45"/>
    <mergeCell ref="C28:J30"/>
    <mergeCell ref="C35:D35"/>
    <mergeCell ref="C36:D36"/>
    <mergeCell ref="C37:D37"/>
    <mergeCell ref="A9:D9"/>
    <mergeCell ref="E9:F9"/>
    <mergeCell ref="C38:D38"/>
    <mergeCell ref="C25:J25"/>
    <mergeCell ref="B10:J10"/>
    <mergeCell ref="B11:J11"/>
    <mergeCell ref="B12:J12"/>
    <mergeCell ref="C17:J17"/>
    <mergeCell ref="C20:J21"/>
    <mergeCell ref="C22:J22"/>
    <mergeCell ref="C18:G18"/>
    <mergeCell ref="C19:J19"/>
    <mergeCell ref="C26:G26"/>
    <mergeCell ref="C27:J27"/>
    <mergeCell ref="C23:J23"/>
    <mergeCell ref="B44:D44"/>
    <mergeCell ref="D56:J56"/>
    <mergeCell ref="H38:I38"/>
    <mergeCell ref="H49:I49"/>
    <mergeCell ref="B46:D46"/>
    <mergeCell ref="G47:H47"/>
    <mergeCell ref="D55:J55"/>
    <mergeCell ref="C39:D39"/>
  </mergeCells>
  <conditionalFormatting sqref="B5">
    <cfRule type="cellIs" priority="13" dxfId="0" operator="equal">
      <formula>0</formula>
    </cfRule>
  </conditionalFormatting>
  <conditionalFormatting sqref="B5">
    <cfRule type="cellIs" priority="14" dxfId="0" operator="equal">
      <formula>"""(Yes/No)"""</formula>
    </cfRule>
  </conditionalFormatting>
  <conditionalFormatting sqref="E9:F9">
    <cfRule type="cellIs" priority="10" dxfId="0" operator="equal">
      <formula>0</formula>
    </cfRule>
  </conditionalFormatting>
  <conditionalFormatting sqref="E9:F9">
    <cfRule type="cellIs" priority="9" dxfId="0" operator="equal">
      <formula>"$"</formula>
    </cfRule>
  </conditionalFormatting>
  <conditionalFormatting sqref="H16">
    <cfRule type="cellIs" priority="8" dxfId="0" operator="equal">
      <formula>0</formula>
    </cfRule>
  </conditionalFormatting>
  <conditionalFormatting sqref="F2">
    <cfRule type="cellIs" priority="3" dxfId="0" operator="equal">
      <formula>0</formula>
    </cfRule>
  </conditionalFormatting>
  <conditionalFormatting sqref="H18">
    <cfRule type="cellIs" priority="2" dxfId="0" operator="equal">
      <formula>0</formula>
    </cfRule>
  </conditionalFormatting>
  <conditionalFormatting sqref="H24">
    <cfRule type="cellIs" priority="1" dxfId="0" operator="equal">
      <formula>0</formula>
    </cfRule>
  </conditionalFormatting>
  <dataValidations count="2">
    <dataValidation type="list" allowBlank="1" showInputMessage="1" showErrorMessage="1" sqref="F2">
      <formula1>County</formula1>
    </dataValidation>
    <dataValidation type="list" allowBlank="1" showInputMessage="1" showErrorMessage="1" sqref="B5">
      <formula1>Select</formula1>
    </dataValidation>
  </dataValidations>
  <printOptions horizontalCentered="1"/>
  <pageMargins left="0.7" right="0.7" top="0.75" bottom="0.75" header="0.3" footer="0.3"/>
  <pageSetup fitToHeight="1" fitToWidth="1" horizontalDpi="600" verticalDpi="600" orientation="portrait" scale="72" r:id="rId2"/>
  <headerFooter>
    <oddHeader>&amp;L&amp;G&amp;C&amp;"-,Bold"&amp;20Pavement Marking Funding Application</oddHeader>
  </headerFooter>
  <ignoredErrors>
    <ignoredError sqref="F47:I47 F46 I46 J49 I43 F43" evalError="1"/>
  </ignoredErrors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3"/>
  <sheetViews>
    <sheetView zoomScale="115" zoomScaleNormal="115" zoomScaleSheetLayoutView="145" workbookViewId="0" topLeftCell="A1">
      <selection activeCell="A1" sqref="A1"/>
    </sheetView>
  </sheetViews>
  <sheetFormatPr defaultColWidth="9.140625" defaultRowHeight="15"/>
  <cols>
    <col min="1" max="1" width="11.00390625" style="0" customWidth="1"/>
    <col min="2" max="2" width="13.421875" style="0" customWidth="1"/>
    <col min="3" max="3" width="10.00390625" style="0" customWidth="1"/>
    <col min="4" max="4" width="11.00390625" style="0" customWidth="1"/>
    <col min="5" max="5" width="9.140625" style="0" customWidth="1"/>
    <col min="6" max="6" width="9.57421875" style="0" customWidth="1"/>
  </cols>
  <sheetData>
    <row r="1" spans="3:6" s="17" customFormat="1" ht="15">
      <c r="C1" s="24"/>
      <c r="F1" s="9"/>
    </row>
    <row r="2" spans="4:6" ht="18.75">
      <c r="D2" s="54"/>
      <c r="E2" s="68" t="s">
        <v>158</v>
      </c>
      <c r="F2" s="69"/>
    </row>
    <row r="4" ht="18.75">
      <c r="A4" s="33" t="s">
        <v>97</v>
      </c>
    </row>
    <row r="5" spans="1:4" ht="15">
      <c r="A5" s="8" t="s">
        <v>98</v>
      </c>
      <c r="B5" s="62"/>
      <c r="C5" s="8" t="s">
        <v>99</v>
      </c>
      <c r="D5" s="62" t="str">
        <f>IF(B5="Yes","No",IF(B5=0," ","Yes"))</f>
        <v> </v>
      </c>
    </row>
    <row r="7" ht="18.75">
      <c r="A7" s="33" t="s">
        <v>108</v>
      </c>
    </row>
    <row r="8" ht="15">
      <c r="A8" s="85" t="s">
        <v>147</v>
      </c>
    </row>
    <row r="9" spans="1:6" ht="15">
      <c r="A9" s="128" t="s">
        <v>167</v>
      </c>
      <c r="B9" s="129"/>
      <c r="C9" s="129"/>
      <c r="D9" s="130"/>
      <c r="E9" s="131" t="s">
        <v>153</v>
      </c>
      <c r="F9" s="132"/>
    </row>
    <row r="10" spans="2:10" s="19" customFormat="1" ht="15">
      <c r="B10" s="127" t="s">
        <v>104</v>
      </c>
      <c r="C10" s="127"/>
      <c r="D10" s="127"/>
      <c r="E10" s="127"/>
      <c r="F10" s="127"/>
      <c r="G10" s="127"/>
      <c r="H10" s="127"/>
      <c r="I10" s="127"/>
      <c r="J10" s="127"/>
    </row>
    <row r="11" spans="2:10" s="19" customFormat="1" ht="15" customHeight="1">
      <c r="B11" s="127" t="s">
        <v>177</v>
      </c>
      <c r="C11" s="127"/>
      <c r="D11" s="127"/>
      <c r="E11" s="127"/>
      <c r="F11" s="127"/>
      <c r="G11" s="127"/>
      <c r="H11" s="127"/>
      <c r="I11" s="127"/>
      <c r="J11" s="127"/>
    </row>
    <row r="12" spans="2:10" s="19" customFormat="1" ht="15">
      <c r="B12" s="127" t="s">
        <v>176</v>
      </c>
      <c r="C12" s="127"/>
      <c r="D12" s="127"/>
      <c r="E12" s="127"/>
      <c r="F12" s="127"/>
      <c r="G12" s="127"/>
      <c r="H12" s="127"/>
      <c r="I12" s="127"/>
      <c r="J12" s="127"/>
    </row>
    <row r="14" ht="15">
      <c r="A14" t="s">
        <v>170</v>
      </c>
    </row>
    <row r="15" spans="1:8" s="7" customFormat="1" ht="15" customHeight="1">
      <c r="A15" s="12"/>
      <c r="B15" s="15" t="s">
        <v>171</v>
      </c>
      <c r="C15" s="9"/>
      <c r="D15" s="14"/>
      <c r="E15" s="14"/>
      <c r="F15" s="14"/>
      <c r="G15" s="13"/>
      <c r="H15" s="12"/>
    </row>
    <row r="16" spans="2:9" ht="15">
      <c r="B16" s="11" t="s">
        <v>159</v>
      </c>
      <c r="C16" s="128" t="s">
        <v>129</v>
      </c>
      <c r="D16" s="129"/>
      <c r="E16" s="129"/>
      <c r="F16" s="129"/>
      <c r="G16" s="130"/>
      <c r="H16" s="52">
        <v>100</v>
      </c>
      <c r="I16" s="10" t="s">
        <v>100</v>
      </c>
    </row>
    <row r="17" spans="2:12" s="18" customFormat="1" ht="30" customHeight="1">
      <c r="B17" s="20"/>
      <c r="C17" s="126" t="s">
        <v>128</v>
      </c>
      <c r="D17" s="126"/>
      <c r="E17" s="126"/>
      <c r="F17" s="126"/>
      <c r="G17" s="126"/>
      <c r="H17" s="126"/>
      <c r="I17" s="126"/>
      <c r="J17" s="126"/>
      <c r="K17" s="81"/>
      <c r="L17" s="81"/>
    </row>
    <row r="18" spans="1:11" ht="15" customHeight="1">
      <c r="A18" s="10"/>
      <c r="B18" s="60" t="s">
        <v>107</v>
      </c>
      <c r="C18" s="123" t="s">
        <v>141</v>
      </c>
      <c r="D18" s="123"/>
      <c r="E18" s="123"/>
      <c r="F18" s="123"/>
      <c r="G18" s="123"/>
      <c r="H18" s="123"/>
      <c r="I18" s="123"/>
      <c r="J18" s="123"/>
      <c r="K18" s="55"/>
    </row>
    <row r="19" spans="2:11" ht="15">
      <c r="B19" s="16"/>
      <c r="C19" s="123"/>
      <c r="D19" s="123"/>
      <c r="E19" s="123"/>
      <c r="F19" s="123"/>
      <c r="G19" s="123"/>
      <c r="H19" s="123"/>
      <c r="I19" s="123"/>
      <c r="J19" s="123"/>
      <c r="K19" s="55"/>
    </row>
    <row r="20" spans="2:11" ht="15">
      <c r="B20" s="16"/>
      <c r="C20" s="123"/>
      <c r="D20" s="123"/>
      <c r="E20" s="123"/>
      <c r="F20" s="123"/>
      <c r="G20" s="123"/>
      <c r="H20" s="123"/>
      <c r="I20" s="123"/>
      <c r="J20" s="123"/>
      <c r="K20" s="55"/>
    </row>
    <row r="21" s="7" customFormat="1" ht="15"/>
    <row r="22" ht="18.75">
      <c r="A22" s="33" t="s">
        <v>142</v>
      </c>
    </row>
    <row r="24" ht="15.75" thickBot="1">
      <c r="A24" t="s">
        <v>172</v>
      </c>
    </row>
    <row r="25" spans="3:5" ht="15">
      <c r="C25" s="102" t="s">
        <v>178</v>
      </c>
      <c r="D25" s="103"/>
      <c r="E25" s="37" t="s">
        <v>103</v>
      </c>
    </row>
    <row r="26" spans="3:5" ht="15">
      <c r="C26" s="104" t="s">
        <v>136</v>
      </c>
      <c r="D26" s="105"/>
      <c r="E26" s="26">
        <v>6</v>
      </c>
    </row>
    <row r="27" spans="3:5" ht="15.75" thickBot="1">
      <c r="C27" s="104" t="s">
        <v>137</v>
      </c>
      <c r="D27" s="105"/>
      <c r="E27" s="26">
        <v>3</v>
      </c>
    </row>
    <row r="28" spans="3:10" ht="15.75" thickBot="1">
      <c r="C28" s="111" t="s">
        <v>138</v>
      </c>
      <c r="D28" s="112"/>
      <c r="E28" s="31">
        <v>0</v>
      </c>
      <c r="H28" s="106" t="s">
        <v>113</v>
      </c>
      <c r="I28" s="106"/>
      <c r="J28" s="23">
        <f>IF(E9&lt;=Costs!B15,Costs!C15,IF(E9&lt;=Costs!B16,Costs!C16,Costs!C17))</f>
        <v>0</v>
      </c>
    </row>
    <row r="30" ht="15.75" thickBot="1">
      <c r="A30" t="s">
        <v>164</v>
      </c>
    </row>
    <row r="31" spans="2:11" ht="45.75" thickBot="1">
      <c r="B31" s="113" t="s">
        <v>173</v>
      </c>
      <c r="C31" s="114"/>
      <c r="D31" s="115"/>
      <c r="E31" s="65" t="s">
        <v>174</v>
      </c>
      <c r="F31" s="40" t="s">
        <v>101</v>
      </c>
      <c r="G31" s="40" t="s">
        <v>102</v>
      </c>
      <c r="H31" s="41" t="s">
        <v>140</v>
      </c>
      <c r="I31" s="39" t="s">
        <v>121</v>
      </c>
      <c r="J31" s="42" t="s">
        <v>122</v>
      </c>
      <c r="K31" s="57"/>
    </row>
    <row r="32" spans="2:11" ht="31.5" customHeight="1" thickBot="1">
      <c r="B32" s="143" t="s">
        <v>163</v>
      </c>
      <c r="C32" s="144"/>
      <c r="D32" s="145"/>
      <c r="E32" s="84">
        <f>H16/100</f>
        <v>1</v>
      </c>
      <c r="F32" s="74" t="e">
        <f>VLOOKUP($F$2,RPMs!$A$4:$J$91,10,FALSE)</f>
        <v>#N/A</v>
      </c>
      <c r="G32" s="75" t="e">
        <f>VLOOKUP($F$2,RPMs!$A$4:$J$91,9,FALSE)/100</f>
        <v>#N/A</v>
      </c>
      <c r="H32" s="96">
        <v>1</v>
      </c>
      <c r="I32" s="76" t="e">
        <f>(1+G32)*F32*E32/2*H32</f>
        <v>#N/A</v>
      </c>
      <c r="J32" s="77">
        <f>88*E32</f>
        <v>88</v>
      </c>
      <c r="K32" s="61"/>
    </row>
    <row r="33" spans="7:11" ht="15.75" thickBot="1">
      <c r="G33" s="122" t="s">
        <v>116</v>
      </c>
      <c r="H33" s="122"/>
      <c r="I33" s="43" t="e">
        <f>SUM(I32:I32)</f>
        <v>#N/A</v>
      </c>
      <c r="J33" s="44">
        <f>SUM(J32:J32)</f>
        <v>88</v>
      </c>
      <c r="K33" s="56"/>
    </row>
    <row r="34" spans="2:5" ht="15.75" thickBot="1">
      <c r="B34" s="109" t="s">
        <v>179</v>
      </c>
      <c r="C34" s="109"/>
      <c r="D34" s="109"/>
      <c r="E34" s="109"/>
    </row>
    <row r="35" spans="2:10" ht="15.75" thickBot="1">
      <c r="B35" s="109"/>
      <c r="C35" s="109"/>
      <c r="D35" s="109"/>
      <c r="E35" s="109"/>
      <c r="H35" s="106" t="s">
        <v>113</v>
      </c>
      <c r="I35" s="106"/>
      <c r="J35" s="78" t="e">
        <f>ROUND(I33,2)</f>
        <v>#N/A</v>
      </c>
    </row>
    <row r="37" ht="15.75" thickBot="1"/>
    <row r="38" spans="5:6" ht="19.5" thickBot="1">
      <c r="E38" s="34" t="s">
        <v>117</v>
      </c>
      <c r="F38" s="35" t="e">
        <f>SUM(J35,J28)</f>
        <v>#N/A</v>
      </c>
    </row>
    <row r="41" spans="3:12" ht="21">
      <c r="C41" s="36" t="s">
        <v>119</v>
      </c>
      <c r="D41" s="108"/>
      <c r="E41" s="108"/>
      <c r="F41" s="108"/>
      <c r="G41" s="108"/>
      <c r="H41" s="108"/>
      <c r="I41" s="108"/>
      <c r="J41" s="108"/>
      <c r="K41" s="63"/>
      <c r="L41" s="63"/>
    </row>
    <row r="42" spans="3:12" ht="21">
      <c r="C42" s="36" t="s">
        <v>118</v>
      </c>
      <c r="D42" s="110"/>
      <c r="E42" s="110"/>
      <c r="F42" s="110"/>
      <c r="G42" s="110"/>
      <c r="H42" s="110"/>
      <c r="I42" s="110"/>
      <c r="J42" s="110"/>
      <c r="K42" s="63"/>
      <c r="L42" s="63"/>
    </row>
    <row r="43" spans="11:12" ht="15">
      <c r="K43" s="10"/>
      <c r="L43" s="10"/>
    </row>
  </sheetData>
  <sheetProtection/>
  <mergeCells count="20">
    <mergeCell ref="B32:D32"/>
    <mergeCell ref="H28:I28"/>
    <mergeCell ref="G33:H33"/>
    <mergeCell ref="B10:J10"/>
    <mergeCell ref="A9:D9"/>
    <mergeCell ref="E9:F9"/>
    <mergeCell ref="C16:G16"/>
    <mergeCell ref="C18:J20"/>
    <mergeCell ref="C25:D25"/>
    <mergeCell ref="C26:D26"/>
    <mergeCell ref="B11:J11"/>
    <mergeCell ref="B12:J12"/>
    <mergeCell ref="C17:J17"/>
    <mergeCell ref="B34:E35"/>
    <mergeCell ref="D41:J41"/>
    <mergeCell ref="D42:J42"/>
    <mergeCell ref="C27:D27"/>
    <mergeCell ref="C28:D28"/>
    <mergeCell ref="H35:I35"/>
    <mergeCell ref="B31:D31"/>
  </mergeCells>
  <conditionalFormatting sqref="B5">
    <cfRule type="cellIs" priority="12" dxfId="0" operator="equal">
      <formula>"""(Yes/No)"""</formula>
    </cfRule>
  </conditionalFormatting>
  <conditionalFormatting sqref="B5">
    <cfRule type="cellIs" priority="11" dxfId="0" operator="equal">
      <formula>0</formula>
    </cfRule>
  </conditionalFormatting>
  <conditionalFormatting sqref="E9:F9">
    <cfRule type="cellIs" priority="8" dxfId="0" operator="equal">
      <formula>0</formula>
    </cfRule>
  </conditionalFormatting>
  <conditionalFormatting sqref="E9:F9">
    <cfRule type="cellIs" priority="7" dxfId="0" operator="equal">
      <formula>"$"</formula>
    </cfRule>
  </conditionalFormatting>
  <conditionalFormatting sqref="F2">
    <cfRule type="cellIs" priority="1" dxfId="0" operator="equal">
      <formula>0</formula>
    </cfRule>
  </conditionalFormatting>
  <dataValidations count="2">
    <dataValidation type="list" allowBlank="1" showInputMessage="1" showErrorMessage="1" sqref="F2">
      <formula1>County</formula1>
    </dataValidation>
    <dataValidation type="list" allowBlank="1" showInputMessage="1" showErrorMessage="1" sqref="B5">
      <formula1>Select</formula1>
    </dataValidation>
  </dataValidations>
  <printOptions horizontalCentered="1"/>
  <pageMargins left="0.7" right="0.7" top="0.75" bottom="0.75" header="0.3" footer="0.3"/>
  <pageSetup fitToHeight="1" fitToWidth="1" horizontalDpi="600" verticalDpi="600" orientation="portrait" scale="89" r:id="rId2"/>
  <headerFooter>
    <oddHeader>&amp;L&amp;G&amp;C&amp;"-,Bold"&amp;20Raised Pavement Marker Funding Application</oddHeader>
  </headerFooter>
  <ignoredErrors>
    <ignoredError sqref="H32:I32 I33 F32" evalError="1"/>
  </ignoredErrors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91"/>
  <sheetViews>
    <sheetView tabSelected="1" zoomScalePageLayoutView="0" workbookViewId="0" topLeftCell="A2">
      <selection activeCell="C3" sqref="C3:C90"/>
    </sheetView>
  </sheetViews>
  <sheetFormatPr defaultColWidth="9.140625" defaultRowHeight="15"/>
  <cols>
    <col min="2" max="2" width="9.28125" style="0" bestFit="1" customWidth="1"/>
    <col min="3" max="3" width="12.7109375" style="99" bestFit="1" customWidth="1"/>
    <col min="4" max="4" width="14.28125" style="99" bestFit="1" customWidth="1"/>
    <col min="5" max="7" width="9.28125" style="4" bestFit="1" customWidth="1"/>
    <col min="8" max="8" width="9.28125" style="0" bestFit="1" customWidth="1"/>
    <col min="9" max="9" width="9.28125" style="0" customWidth="1"/>
  </cols>
  <sheetData>
    <row r="2" spans="1:10" ht="105">
      <c r="A2" s="5" t="s">
        <v>88</v>
      </c>
      <c r="B2" s="5" t="s">
        <v>175</v>
      </c>
      <c r="C2" s="98" t="s">
        <v>190</v>
      </c>
      <c r="D2" s="98" t="s">
        <v>89</v>
      </c>
      <c r="E2" s="6" t="s">
        <v>93</v>
      </c>
      <c r="F2" s="6" t="s">
        <v>94</v>
      </c>
      <c r="G2" s="6" t="s">
        <v>92</v>
      </c>
      <c r="H2" s="5" t="s">
        <v>91</v>
      </c>
      <c r="I2" s="5" t="s">
        <v>114</v>
      </c>
      <c r="J2" s="5" t="s">
        <v>154</v>
      </c>
    </row>
    <row r="3" spans="1:10" ht="15">
      <c r="A3" t="s">
        <v>0</v>
      </c>
      <c r="B3" s="2">
        <v>377.30399999999906</v>
      </c>
      <c r="C3" s="3">
        <v>608.1891900729158</v>
      </c>
      <c r="D3" s="3">
        <v>223203</v>
      </c>
      <c r="E3" s="4">
        <v>5</v>
      </c>
      <c r="F3" s="4">
        <v>153</v>
      </c>
      <c r="G3" s="4">
        <v>422</v>
      </c>
      <c r="H3" s="3">
        <f aca="true" t="shared" si="0" ref="H3:H34">G3*1000000/(5*365*B3*D3/B3)</f>
        <v>1.0359756666009363</v>
      </c>
      <c r="I3" s="32">
        <f aca="true" t="shared" si="1" ref="I3:I34">SUM($E3:$F3)/SUM($E$3:$F$90)</f>
        <v>0.004128452352956547</v>
      </c>
      <c r="J3">
        <f aca="true" t="shared" si="2" ref="J3:J34">_xlfn.RANK.AVG(H3,H$1:H$65536,1)</f>
        <v>37</v>
      </c>
    </row>
    <row r="4" spans="1:10" ht="15">
      <c r="A4" t="s">
        <v>1</v>
      </c>
      <c r="B4" s="2">
        <v>359.6099999999995</v>
      </c>
      <c r="C4" s="3">
        <v>5407.204861111106</v>
      </c>
      <c r="D4" s="3">
        <v>1868730</v>
      </c>
      <c r="E4" s="4">
        <v>11</v>
      </c>
      <c r="F4" s="4">
        <v>568</v>
      </c>
      <c r="G4" s="4">
        <v>1967</v>
      </c>
      <c r="H4" s="3">
        <f t="shared" si="0"/>
        <v>0.5767597347814196</v>
      </c>
      <c r="I4" s="32">
        <f t="shared" si="1"/>
        <v>0.015128948812416712</v>
      </c>
      <c r="J4">
        <f t="shared" si="2"/>
        <v>14</v>
      </c>
    </row>
    <row r="5" spans="1:10" ht="15">
      <c r="A5" t="s">
        <v>2</v>
      </c>
      <c r="B5" s="2">
        <v>288.3299999999999</v>
      </c>
      <c r="C5" s="3">
        <v>926.2897544709402</v>
      </c>
      <c r="D5" s="3">
        <v>251672</v>
      </c>
      <c r="E5" s="4">
        <v>2</v>
      </c>
      <c r="F5" s="4">
        <v>180</v>
      </c>
      <c r="G5" s="4">
        <v>501</v>
      </c>
      <c r="H5" s="3">
        <f t="shared" si="0"/>
        <v>1.0907870082695155</v>
      </c>
      <c r="I5" s="32">
        <f t="shared" si="1"/>
        <v>0.004755559039481592</v>
      </c>
      <c r="J5">
        <f t="shared" si="2"/>
        <v>45</v>
      </c>
    </row>
    <row r="6" spans="1:10" ht="15">
      <c r="A6" t="s">
        <v>3</v>
      </c>
      <c r="B6" s="2">
        <v>361.53999999999985</v>
      </c>
      <c r="C6" s="3">
        <v>455.3112172361901</v>
      </c>
      <c r="D6" s="3">
        <v>153403</v>
      </c>
      <c r="E6" s="4">
        <v>15</v>
      </c>
      <c r="F6" s="4">
        <v>349</v>
      </c>
      <c r="G6" s="4">
        <v>944</v>
      </c>
      <c r="H6" s="3">
        <f t="shared" si="0"/>
        <v>3.3719045518836177</v>
      </c>
      <c r="I6" s="32">
        <f t="shared" si="1"/>
        <v>0.009511118078963184</v>
      </c>
      <c r="J6">
        <f t="shared" si="2"/>
        <v>87</v>
      </c>
    </row>
    <row r="7" spans="1:10" ht="15">
      <c r="A7" t="s">
        <v>4</v>
      </c>
      <c r="B7" s="2">
        <v>373.2369999999999</v>
      </c>
      <c r="C7" s="3">
        <v>577.4467476769123</v>
      </c>
      <c r="D7" s="3">
        <v>201962</v>
      </c>
      <c r="E7" s="4">
        <v>5</v>
      </c>
      <c r="F7" s="4">
        <v>234</v>
      </c>
      <c r="G7" s="4">
        <v>632</v>
      </c>
      <c r="H7" s="3">
        <f t="shared" si="0"/>
        <v>1.7146857817956531</v>
      </c>
      <c r="I7" s="32">
        <f t="shared" si="1"/>
        <v>0.0062449374199785735</v>
      </c>
      <c r="J7">
        <f t="shared" si="2"/>
        <v>59</v>
      </c>
    </row>
    <row r="8" spans="1:10" ht="15">
      <c r="A8" t="s">
        <v>5</v>
      </c>
      <c r="B8" s="2">
        <v>380.6559999999998</v>
      </c>
      <c r="C8" s="3">
        <v>727.3612405853719</v>
      </c>
      <c r="D8" s="3">
        <v>245779</v>
      </c>
      <c r="E8" s="4">
        <v>5</v>
      </c>
      <c r="F8" s="4">
        <v>150</v>
      </c>
      <c r="G8" s="4">
        <v>323</v>
      </c>
      <c r="H8" s="3">
        <f t="shared" si="0"/>
        <v>0.7201034318223405</v>
      </c>
      <c r="I8" s="32">
        <f t="shared" si="1"/>
        <v>0.004050064017140916</v>
      </c>
      <c r="J8">
        <f t="shared" si="2"/>
        <v>20</v>
      </c>
    </row>
    <row r="9" spans="1:10" ht="15">
      <c r="A9" t="s">
        <v>6</v>
      </c>
      <c r="B9" s="2">
        <v>312.1900000000003</v>
      </c>
      <c r="C9" s="3">
        <v>971.4884840151246</v>
      </c>
      <c r="D9" s="3">
        <v>282606</v>
      </c>
      <c r="E9" s="4">
        <v>8</v>
      </c>
      <c r="F9" s="4">
        <v>277</v>
      </c>
      <c r="G9" s="4">
        <v>857</v>
      </c>
      <c r="H9" s="3">
        <f t="shared" si="0"/>
        <v>1.6616386102768181</v>
      </c>
      <c r="I9" s="32">
        <f t="shared" si="1"/>
        <v>0.00744689190248491</v>
      </c>
      <c r="J9">
        <f t="shared" si="2"/>
        <v>57</v>
      </c>
    </row>
    <row r="10" spans="1:10" ht="15">
      <c r="A10" t="s">
        <v>7</v>
      </c>
      <c r="B10" s="2">
        <v>338.9509999999999</v>
      </c>
      <c r="C10" s="3">
        <v>1099.2955731307122</v>
      </c>
      <c r="D10" s="3">
        <v>361112</v>
      </c>
      <c r="E10" s="4">
        <v>2</v>
      </c>
      <c r="F10" s="4">
        <v>296</v>
      </c>
      <c r="G10" s="4">
        <v>714</v>
      </c>
      <c r="H10" s="3">
        <f t="shared" si="0"/>
        <v>1.083411453267487</v>
      </c>
      <c r="I10" s="32">
        <f t="shared" si="1"/>
        <v>0.00778657469101931</v>
      </c>
      <c r="J10">
        <f t="shared" si="2"/>
        <v>43</v>
      </c>
    </row>
    <row r="11" spans="1:10" ht="15">
      <c r="A11" t="s">
        <v>8</v>
      </c>
      <c r="B11" s="2">
        <v>272.3199999999999</v>
      </c>
      <c r="C11" s="3">
        <v>9815.053547388938</v>
      </c>
      <c r="D11" s="3">
        <v>2442427</v>
      </c>
      <c r="E11" s="4">
        <v>19</v>
      </c>
      <c r="F11" s="4">
        <v>1326</v>
      </c>
      <c r="G11" s="4">
        <v>4512</v>
      </c>
      <c r="H11" s="3">
        <f t="shared" si="0"/>
        <v>1.0122426451735458</v>
      </c>
      <c r="I11" s="32">
        <f t="shared" si="1"/>
        <v>0.0351441038906744</v>
      </c>
      <c r="J11">
        <f t="shared" si="2"/>
        <v>35</v>
      </c>
    </row>
    <row r="12" spans="1:10" ht="15">
      <c r="A12" t="s">
        <v>9</v>
      </c>
      <c r="B12" s="2">
        <v>331.13999999999993</v>
      </c>
      <c r="C12" s="3">
        <v>307.4579551521623</v>
      </c>
      <c r="D12" s="3">
        <v>92139</v>
      </c>
      <c r="E12" s="4">
        <v>2</v>
      </c>
      <c r="F12" s="4">
        <v>123</v>
      </c>
      <c r="G12" s="4">
        <v>433</v>
      </c>
      <c r="H12" s="3">
        <f t="shared" si="0"/>
        <v>2.5750254937931034</v>
      </c>
      <c r="I12" s="32">
        <f t="shared" si="1"/>
        <v>0.0032661806589846095</v>
      </c>
      <c r="J12">
        <f t="shared" si="2"/>
        <v>77</v>
      </c>
    </row>
    <row r="13" spans="1:10" ht="15">
      <c r="A13" t="s">
        <v>10</v>
      </c>
      <c r="B13" s="2">
        <v>250.74500000000012</v>
      </c>
      <c r="C13" s="3">
        <v>886.110254263429</v>
      </c>
      <c r="D13" s="3">
        <v>201085</v>
      </c>
      <c r="E13" s="4">
        <v>7</v>
      </c>
      <c r="F13" s="4">
        <v>122</v>
      </c>
      <c r="G13" s="4">
        <v>358</v>
      </c>
      <c r="H13" s="3">
        <f t="shared" si="0"/>
        <v>0.9755296693519847</v>
      </c>
      <c r="I13" s="32">
        <f t="shared" si="1"/>
        <v>0.0033706984400721173</v>
      </c>
      <c r="J13">
        <f t="shared" si="2"/>
        <v>31</v>
      </c>
    </row>
    <row r="14" spans="1:10" ht="15">
      <c r="A14" t="s">
        <v>11</v>
      </c>
      <c r="B14" s="2">
        <v>310.8709999999994</v>
      </c>
      <c r="C14" s="3">
        <v>6962.082705554087</v>
      </c>
      <c r="D14" s="3">
        <v>2028549</v>
      </c>
      <c r="E14" s="4">
        <v>25</v>
      </c>
      <c r="F14" s="4">
        <v>541</v>
      </c>
      <c r="G14" s="4">
        <v>1571</v>
      </c>
      <c r="H14" s="3">
        <f t="shared" si="0"/>
        <v>0.4243535245183721</v>
      </c>
      <c r="I14" s="32">
        <f t="shared" si="1"/>
        <v>0.014789266023882313</v>
      </c>
      <c r="J14">
        <f t="shared" si="2"/>
        <v>6</v>
      </c>
    </row>
    <row r="15" spans="1:10" ht="15">
      <c r="A15" t="s">
        <v>12</v>
      </c>
      <c r="B15" s="2">
        <v>384.63</v>
      </c>
      <c r="C15" s="3">
        <v>4332.061894563976</v>
      </c>
      <c r="D15" s="3">
        <v>1561639</v>
      </c>
      <c r="E15" s="4">
        <v>24</v>
      </c>
      <c r="F15" s="4">
        <v>1667</v>
      </c>
      <c r="G15" s="4">
        <v>6050</v>
      </c>
      <c r="H15" s="3">
        <f t="shared" si="0"/>
        <v>2.1228135908175223</v>
      </c>
      <c r="I15" s="32">
        <f t="shared" si="1"/>
        <v>0.0441848919547438</v>
      </c>
      <c r="J15">
        <f t="shared" si="2"/>
        <v>71</v>
      </c>
    </row>
    <row r="16" spans="1:10" ht="15">
      <c r="A16" t="s">
        <v>13</v>
      </c>
      <c r="B16" s="2">
        <v>266.40000000000003</v>
      </c>
      <c r="C16" s="3">
        <v>807.7225906474994</v>
      </c>
      <c r="D16" s="3">
        <v>199018</v>
      </c>
      <c r="E16" s="4">
        <v>2</v>
      </c>
      <c r="F16" s="4">
        <v>145</v>
      </c>
      <c r="G16" s="4">
        <v>400</v>
      </c>
      <c r="H16" s="3">
        <f t="shared" si="0"/>
        <v>1.1012977830737964</v>
      </c>
      <c r="I16" s="32">
        <f t="shared" si="1"/>
        <v>0.003841028454965901</v>
      </c>
      <c r="J16">
        <f t="shared" si="2"/>
        <v>46</v>
      </c>
    </row>
    <row r="17" spans="1:10" ht="15">
      <c r="A17" t="s">
        <v>14</v>
      </c>
      <c r="B17" s="2">
        <v>169.76000000000005</v>
      </c>
      <c r="C17" s="3">
        <v>1741.909243697479</v>
      </c>
      <c r="D17" s="3">
        <v>259109</v>
      </c>
      <c r="E17" s="4">
        <v>10</v>
      </c>
      <c r="F17" s="4">
        <v>332</v>
      </c>
      <c r="G17" s="4">
        <v>977</v>
      </c>
      <c r="H17" s="3">
        <f t="shared" si="0"/>
        <v>2.0660898145314315</v>
      </c>
      <c r="I17" s="32">
        <f t="shared" si="1"/>
        <v>0.008936270282981893</v>
      </c>
      <c r="J17">
        <f t="shared" si="2"/>
        <v>69</v>
      </c>
    </row>
    <row r="18" spans="1:10" ht="15">
      <c r="A18" t="s">
        <v>15</v>
      </c>
      <c r="B18" s="2">
        <v>360.34999999999985</v>
      </c>
      <c r="C18" s="3">
        <v>490.6959159373184</v>
      </c>
      <c r="D18" s="3">
        <v>169374</v>
      </c>
      <c r="E18" s="4">
        <v>11</v>
      </c>
      <c r="F18" s="4">
        <v>113</v>
      </c>
      <c r="G18" s="4">
        <v>331</v>
      </c>
      <c r="H18" s="3">
        <f t="shared" si="0"/>
        <v>1.0708247016289314</v>
      </c>
      <c r="I18" s="32">
        <f t="shared" si="1"/>
        <v>0.0032400512137127327</v>
      </c>
      <c r="J18">
        <f t="shared" si="2"/>
        <v>42</v>
      </c>
    </row>
    <row r="19" spans="1:10" ht="15">
      <c r="A19" t="s">
        <v>16</v>
      </c>
      <c r="B19" s="2">
        <v>251.70600000000002</v>
      </c>
      <c r="C19" s="3">
        <v>1628.1272750631672</v>
      </c>
      <c r="D19" s="3">
        <v>380184</v>
      </c>
      <c r="E19" s="4">
        <v>3</v>
      </c>
      <c r="F19" s="4">
        <v>117</v>
      </c>
      <c r="G19" s="4">
        <v>348</v>
      </c>
      <c r="H19" s="3">
        <f t="shared" si="0"/>
        <v>0.5015595909003254</v>
      </c>
      <c r="I19" s="32">
        <f t="shared" si="1"/>
        <v>0.0031355334326252254</v>
      </c>
      <c r="J19">
        <f t="shared" si="2"/>
        <v>9</v>
      </c>
    </row>
    <row r="20" spans="1:10" ht="15">
      <c r="A20" t="s">
        <v>17</v>
      </c>
      <c r="B20" s="2">
        <v>24.26</v>
      </c>
      <c r="C20" s="3">
        <v>9688.808426596446</v>
      </c>
      <c r="D20" s="3">
        <v>147173</v>
      </c>
      <c r="E20" s="4">
        <v>1</v>
      </c>
      <c r="F20" s="4">
        <v>110</v>
      </c>
      <c r="G20" s="4">
        <v>374</v>
      </c>
      <c r="H20" s="3">
        <f t="shared" si="0"/>
        <v>1.3924531459528247</v>
      </c>
      <c r="I20" s="32">
        <f t="shared" si="1"/>
        <v>0.0029003684251783335</v>
      </c>
      <c r="J20">
        <f t="shared" si="2"/>
        <v>52</v>
      </c>
    </row>
    <row r="21" spans="1:10" ht="15">
      <c r="A21" t="s">
        <v>18</v>
      </c>
      <c r="B21" s="2">
        <v>579.3000000000002</v>
      </c>
      <c r="C21" s="3">
        <v>358.73131535147445</v>
      </c>
      <c r="D21" s="3">
        <v>180185</v>
      </c>
      <c r="E21" s="4">
        <v>12</v>
      </c>
      <c r="F21" s="4">
        <v>185</v>
      </c>
      <c r="G21" s="4">
        <v>627</v>
      </c>
      <c r="H21" s="3">
        <f t="shared" si="0"/>
        <v>1.9067161186314983</v>
      </c>
      <c r="I21" s="32">
        <f t="shared" si="1"/>
        <v>0.005147500718559745</v>
      </c>
      <c r="J21">
        <f t="shared" si="2"/>
        <v>65</v>
      </c>
    </row>
    <row r="22" spans="1:10" ht="15">
      <c r="A22" t="s">
        <v>19</v>
      </c>
      <c r="B22" s="2">
        <v>342.11999999999983</v>
      </c>
      <c r="C22" s="3">
        <v>826.9997843079481</v>
      </c>
      <c r="D22" s="3">
        <v>272226</v>
      </c>
      <c r="E22" s="4">
        <v>7</v>
      </c>
      <c r="F22" s="4">
        <v>147</v>
      </c>
      <c r="G22" s="4">
        <v>377</v>
      </c>
      <c r="H22" s="3">
        <f t="shared" si="0"/>
        <v>0.7588376660045456</v>
      </c>
      <c r="I22" s="32">
        <f t="shared" si="1"/>
        <v>0.004023934571869039</v>
      </c>
      <c r="J22">
        <f t="shared" si="2"/>
        <v>24</v>
      </c>
    </row>
    <row r="23" spans="1:10" ht="15">
      <c r="A23" t="s">
        <v>20</v>
      </c>
      <c r="B23" s="2">
        <v>341.84000000000003</v>
      </c>
      <c r="C23" s="3">
        <v>3982.0600778787325</v>
      </c>
      <c r="D23" s="3">
        <v>1288515</v>
      </c>
      <c r="E23" s="4">
        <v>12</v>
      </c>
      <c r="F23" s="4">
        <v>623</v>
      </c>
      <c r="G23" s="4">
        <v>1771</v>
      </c>
      <c r="H23" s="3">
        <f t="shared" si="0"/>
        <v>0.7531235250688658</v>
      </c>
      <c r="I23" s="32">
        <f t="shared" si="1"/>
        <v>0.016592197747641816</v>
      </c>
      <c r="J23">
        <f t="shared" si="2"/>
        <v>23</v>
      </c>
    </row>
    <row r="24" spans="1:10" ht="15">
      <c r="A24" t="s">
        <v>21</v>
      </c>
      <c r="B24" s="2">
        <v>147.53999999999985</v>
      </c>
      <c r="C24" s="3">
        <v>10688.910739020916</v>
      </c>
      <c r="D24" s="3">
        <v>1489318</v>
      </c>
      <c r="E24" s="4">
        <v>9</v>
      </c>
      <c r="F24" s="4">
        <v>278</v>
      </c>
      <c r="G24" s="4">
        <v>874</v>
      </c>
      <c r="H24" s="3">
        <f t="shared" si="0"/>
        <v>0.3215593376223487</v>
      </c>
      <c r="I24" s="32">
        <f t="shared" si="1"/>
        <v>0.007499150793028664</v>
      </c>
      <c r="J24">
        <f t="shared" si="2"/>
        <v>2</v>
      </c>
    </row>
    <row r="25" spans="1:10" ht="15">
      <c r="A25" t="s">
        <v>22</v>
      </c>
      <c r="B25" s="2">
        <v>371.2100000000001</v>
      </c>
      <c r="C25" s="3">
        <v>1364.5100607806496</v>
      </c>
      <c r="D25" s="3">
        <v>439566</v>
      </c>
      <c r="E25" s="4">
        <v>27</v>
      </c>
      <c r="F25" s="4">
        <v>644</v>
      </c>
      <c r="G25" s="4">
        <v>1527</v>
      </c>
      <c r="H25" s="3">
        <f t="shared" si="0"/>
        <v>1.9034964687148763</v>
      </c>
      <c r="I25" s="32">
        <f t="shared" si="1"/>
        <v>0.017532857777429384</v>
      </c>
      <c r="J25">
        <f t="shared" si="2"/>
        <v>64</v>
      </c>
    </row>
    <row r="26" spans="1:10" ht="15">
      <c r="A26" t="s">
        <v>23</v>
      </c>
      <c r="B26" s="2">
        <v>313.65599999999966</v>
      </c>
      <c r="C26" s="3">
        <v>1053.0920401903597</v>
      </c>
      <c r="D26" s="3">
        <v>316213</v>
      </c>
      <c r="E26" s="4">
        <v>4</v>
      </c>
      <c r="F26" s="4">
        <v>127</v>
      </c>
      <c r="G26" s="4">
        <v>352</v>
      </c>
      <c r="H26" s="3">
        <f t="shared" si="0"/>
        <v>0.6099582001017261</v>
      </c>
      <c r="I26" s="32">
        <f t="shared" si="1"/>
        <v>0.003422957330615871</v>
      </c>
      <c r="J26">
        <f t="shared" si="2"/>
        <v>17</v>
      </c>
    </row>
    <row r="27" spans="1:10" ht="15">
      <c r="A27" t="s">
        <v>24</v>
      </c>
      <c r="B27" s="2">
        <v>274.15999999999974</v>
      </c>
      <c r="C27" s="3">
        <v>6500.200549742232</v>
      </c>
      <c r="D27" s="3">
        <v>1102005</v>
      </c>
      <c r="E27" s="4">
        <v>29</v>
      </c>
      <c r="F27" s="4">
        <v>1557</v>
      </c>
      <c r="G27" s="4">
        <v>4630</v>
      </c>
      <c r="H27" s="3">
        <f t="shared" si="0"/>
        <v>2.3021549823910625</v>
      </c>
      <c r="I27" s="32">
        <f t="shared" si="1"/>
        <v>0.041441300201196726</v>
      </c>
      <c r="J27">
        <f t="shared" si="2"/>
        <v>72</v>
      </c>
    </row>
    <row r="28" spans="1:10" ht="15">
      <c r="A28" t="s">
        <v>25</v>
      </c>
      <c r="B28" s="2">
        <v>381.6899999999999</v>
      </c>
      <c r="C28" s="3">
        <v>1267.8401732634989</v>
      </c>
      <c r="D28" s="3">
        <v>458948</v>
      </c>
      <c r="E28" s="4">
        <v>7</v>
      </c>
      <c r="F28" s="4">
        <v>234</v>
      </c>
      <c r="G28" s="4">
        <v>603</v>
      </c>
      <c r="H28" s="3">
        <f t="shared" si="0"/>
        <v>0.7199311444959116</v>
      </c>
      <c r="I28" s="32">
        <f t="shared" si="1"/>
        <v>0.006297196310522328</v>
      </c>
      <c r="J28">
        <f t="shared" si="2"/>
        <v>19</v>
      </c>
    </row>
    <row r="29" spans="1:10" ht="15">
      <c r="A29" t="s">
        <v>26</v>
      </c>
      <c r="B29" s="2">
        <v>460.0999999999999</v>
      </c>
      <c r="C29" s="3">
        <v>353.11672791037955</v>
      </c>
      <c r="D29" s="3">
        <v>158078</v>
      </c>
      <c r="E29" s="4">
        <v>6</v>
      </c>
      <c r="F29" s="4">
        <v>225</v>
      </c>
      <c r="G29" s="4">
        <v>695</v>
      </c>
      <c r="H29" s="3">
        <f t="shared" si="0"/>
        <v>2.4090760118942494</v>
      </c>
      <c r="I29" s="32">
        <f t="shared" si="1"/>
        <v>0.006035901857803559</v>
      </c>
      <c r="J29">
        <f t="shared" si="2"/>
        <v>75</v>
      </c>
    </row>
    <row r="30" spans="1:10" ht="15">
      <c r="A30" t="s">
        <v>27</v>
      </c>
      <c r="B30" s="2">
        <v>237.56999999999994</v>
      </c>
      <c r="C30" s="3">
        <v>2421.1727137887087</v>
      </c>
      <c r="D30" s="3">
        <v>533779</v>
      </c>
      <c r="E30" s="4">
        <v>12</v>
      </c>
      <c r="F30" s="4">
        <v>547</v>
      </c>
      <c r="G30" s="4">
        <v>1688</v>
      </c>
      <c r="H30" s="3">
        <f t="shared" si="0"/>
        <v>1.7327986055077385</v>
      </c>
      <c r="I30" s="32">
        <f t="shared" si="1"/>
        <v>0.014606359906979175</v>
      </c>
      <c r="J30">
        <f t="shared" si="2"/>
        <v>60</v>
      </c>
    </row>
    <row r="31" spans="1:10" ht="15">
      <c r="A31" t="s">
        <v>28</v>
      </c>
      <c r="B31" s="2">
        <v>327.07699999999954</v>
      </c>
      <c r="C31" s="3">
        <v>7013.6265227647245</v>
      </c>
      <c r="D31" s="3">
        <v>2170507</v>
      </c>
      <c r="E31" s="4">
        <v>12</v>
      </c>
      <c r="F31" s="4">
        <v>747</v>
      </c>
      <c r="G31" s="4">
        <v>1992</v>
      </c>
      <c r="H31" s="3">
        <f t="shared" si="0"/>
        <v>0.5028810546637575</v>
      </c>
      <c r="I31" s="32">
        <f t="shared" si="1"/>
        <v>0.019832248961354552</v>
      </c>
      <c r="J31">
        <f t="shared" si="2"/>
        <v>11</v>
      </c>
    </row>
    <row r="32" spans="1:10" ht="15">
      <c r="A32" t="s">
        <v>29</v>
      </c>
      <c r="B32" s="2">
        <v>410.7750000000006</v>
      </c>
      <c r="C32" s="3">
        <v>1094.2659337935306</v>
      </c>
      <c r="D32" s="3">
        <v>432606</v>
      </c>
      <c r="E32" s="4">
        <v>4</v>
      </c>
      <c r="F32" s="4">
        <v>211</v>
      </c>
      <c r="G32" s="4">
        <v>623</v>
      </c>
      <c r="H32" s="3">
        <f t="shared" si="0"/>
        <v>0.7891010827720806</v>
      </c>
      <c r="I32" s="32">
        <f t="shared" si="1"/>
        <v>0.005617830733453529</v>
      </c>
      <c r="J32">
        <f t="shared" si="2"/>
        <v>26</v>
      </c>
    </row>
    <row r="33" spans="1:10" ht="15">
      <c r="A33" t="s">
        <v>30</v>
      </c>
      <c r="B33" s="2">
        <v>515.9000000000002</v>
      </c>
      <c r="C33" s="3">
        <v>12572.984984764154</v>
      </c>
      <c r="D33" s="3">
        <v>5471235</v>
      </c>
      <c r="E33" s="4">
        <v>42</v>
      </c>
      <c r="F33" s="4">
        <v>3510</v>
      </c>
      <c r="G33" s="4">
        <v>14150</v>
      </c>
      <c r="H33" s="3">
        <f t="shared" si="0"/>
        <v>1.4171251385718666</v>
      </c>
      <c r="I33" s="32">
        <f t="shared" si="1"/>
        <v>0.09281178960570667</v>
      </c>
      <c r="J33">
        <f t="shared" si="2"/>
        <v>53</v>
      </c>
    </row>
    <row r="34" spans="1:10" ht="15">
      <c r="A34" t="s">
        <v>31</v>
      </c>
      <c r="B34" s="2">
        <v>407.6699999999991</v>
      </c>
      <c r="C34" s="3">
        <v>1926.6038034260312</v>
      </c>
      <c r="D34" s="3">
        <v>706528</v>
      </c>
      <c r="E34" s="4">
        <v>11</v>
      </c>
      <c r="F34" s="4">
        <v>183</v>
      </c>
      <c r="G34" s="4">
        <v>729</v>
      </c>
      <c r="H34" s="3">
        <f t="shared" si="0"/>
        <v>0.5653732828628456</v>
      </c>
      <c r="I34" s="32">
        <f t="shared" si="1"/>
        <v>0.005069112382744114</v>
      </c>
      <c r="J34">
        <f t="shared" si="2"/>
        <v>13</v>
      </c>
    </row>
    <row r="35" spans="1:10" ht="15">
      <c r="A35" t="s">
        <v>32</v>
      </c>
      <c r="B35" s="2">
        <v>405.3439999999992</v>
      </c>
      <c r="C35" s="3">
        <v>643.263436718412</v>
      </c>
      <c r="D35" s="3">
        <v>243820</v>
      </c>
      <c r="E35" s="4">
        <v>4</v>
      </c>
      <c r="F35" s="4">
        <v>92</v>
      </c>
      <c r="G35" s="4">
        <v>241</v>
      </c>
      <c r="H35" s="3">
        <f aca="true" t="shared" si="3" ref="H35:H66">G35*1000000/(5*365*B35*D35/B35)</f>
        <v>0.5416077209439256</v>
      </c>
      <c r="I35" s="32">
        <f aca="true" t="shared" si="4" ref="I35:I66">SUM($E35:$F35)/SUM($E$3:$F$90)</f>
        <v>0.00250842674610018</v>
      </c>
      <c r="J35">
        <f aca="true" t="shared" si="5" ref="J35:J66">_xlfn.RANK.AVG(H35,H$1:H$65536,1)</f>
        <v>12</v>
      </c>
    </row>
    <row r="36" spans="1:10" ht="15">
      <c r="A36" t="s">
        <v>33</v>
      </c>
      <c r="B36" s="2">
        <v>281.61000000000007</v>
      </c>
      <c r="C36" s="3">
        <v>243.0666497612105</v>
      </c>
      <c r="D36" s="3">
        <v>57512</v>
      </c>
      <c r="E36" s="4">
        <v>4</v>
      </c>
      <c r="F36" s="4">
        <v>92</v>
      </c>
      <c r="G36" s="4">
        <v>252</v>
      </c>
      <c r="H36" s="3">
        <f t="shared" si="3"/>
        <v>2.4009283589654666</v>
      </c>
      <c r="I36" s="32">
        <f t="shared" si="4"/>
        <v>0.00250842674610018</v>
      </c>
      <c r="J36">
        <f t="shared" si="5"/>
        <v>74</v>
      </c>
    </row>
    <row r="37" spans="1:10" ht="15">
      <c r="A37" t="s">
        <v>34</v>
      </c>
      <c r="B37" s="2">
        <v>435.07399999999944</v>
      </c>
      <c r="C37" s="3">
        <v>456.393592407563</v>
      </c>
      <c r="D37" s="3">
        <v>185817</v>
      </c>
      <c r="E37" s="4">
        <v>2</v>
      </c>
      <c r="F37" s="4">
        <v>133</v>
      </c>
      <c r="G37" s="4">
        <v>350</v>
      </c>
      <c r="H37" s="3">
        <f t="shared" si="3"/>
        <v>1.0320951361705777</v>
      </c>
      <c r="I37" s="32">
        <f t="shared" si="4"/>
        <v>0.0035274751117033787</v>
      </c>
      <c r="J37">
        <f t="shared" si="5"/>
        <v>36</v>
      </c>
    </row>
    <row r="38" spans="1:10" ht="15">
      <c r="A38" t="s">
        <v>35</v>
      </c>
      <c r="B38" s="2">
        <v>399.69000000000034</v>
      </c>
      <c r="C38" s="3">
        <v>290.3107792211284</v>
      </c>
      <c r="D38" s="3">
        <v>107921</v>
      </c>
      <c r="E38" s="4">
        <v>5</v>
      </c>
      <c r="F38" s="4">
        <v>160</v>
      </c>
      <c r="G38" s="4">
        <v>416</v>
      </c>
      <c r="H38" s="3">
        <f t="shared" si="3"/>
        <v>2.112148752137694</v>
      </c>
      <c r="I38" s="32">
        <f t="shared" si="4"/>
        <v>0.0043113584698596845</v>
      </c>
      <c r="J38">
        <f t="shared" si="5"/>
        <v>70</v>
      </c>
    </row>
    <row r="39" spans="1:10" ht="15">
      <c r="A39" t="s">
        <v>36</v>
      </c>
      <c r="B39" s="2">
        <v>218.51999999999987</v>
      </c>
      <c r="C39" s="3">
        <v>463.2355874725716</v>
      </c>
      <c r="D39" s="3">
        <v>92888</v>
      </c>
      <c r="E39" s="4">
        <v>1</v>
      </c>
      <c r="F39" s="4">
        <v>143</v>
      </c>
      <c r="G39" s="4">
        <v>344</v>
      </c>
      <c r="H39" s="3">
        <f t="shared" si="3"/>
        <v>2.029251902128709</v>
      </c>
      <c r="I39" s="32">
        <f t="shared" si="4"/>
        <v>0.0037626401191502706</v>
      </c>
      <c r="J39">
        <f t="shared" si="5"/>
        <v>68</v>
      </c>
    </row>
    <row r="40" spans="1:10" ht="15">
      <c r="A40" t="s">
        <v>37</v>
      </c>
      <c r="B40" s="2">
        <v>253.98700000000022</v>
      </c>
      <c r="C40" s="3">
        <v>1334.794943485776</v>
      </c>
      <c r="D40" s="3">
        <v>325112</v>
      </c>
      <c r="E40" s="4">
        <v>6</v>
      </c>
      <c r="F40" s="4">
        <v>196</v>
      </c>
      <c r="G40" s="4">
        <v>647</v>
      </c>
      <c r="H40" s="3">
        <f t="shared" si="3"/>
        <v>1.0904566670722873</v>
      </c>
      <c r="I40" s="32">
        <f t="shared" si="4"/>
        <v>0.0052781479449191294</v>
      </c>
      <c r="J40">
        <f t="shared" si="5"/>
        <v>44</v>
      </c>
    </row>
    <row r="41" spans="1:10" ht="15">
      <c r="A41" t="s">
        <v>38</v>
      </c>
      <c r="B41" s="2">
        <v>241.26000000000008</v>
      </c>
      <c r="C41" s="3">
        <v>735.102609008038</v>
      </c>
      <c r="D41" s="3">
        <v>163700</v>
      </c>
      <c r="E41" s="4">
        <v>3</v>
      </c>
      <c r="F41" s="4">
        <v>146</v>
      </c>
      <c r="G41" s="4">
        <v>440</v>
      </c>
      <c r="H41" s="3">
        <f t="shared" si="3"/>
        <v>1.4727910226692666</v>
      </c>
      <c r="I41" s="32">
        <f t="shared" si="4"/>
        <v>0.003893287345509655</v>
      </c>
      <c r="J41">
        <f t="shared" si="5"/>
        <v>55</v>
      </c>
    </row>
    <row r="42" spans="1:10" ht="15">
      <c r="A42" t="s">
        <v>39</v>
      </c>
      <c r="B42" s="2">
        <v>306.85999999999996</v>
      </c>
      <c r="C42" s="3">
        <v>366.0184322829062</v>
      </c>
      <c r="D42" s="3">
        <v>105324</v>
      </c>
      <c r="E42" s="4">
        <v>6</v>
      </c>
      <c r="F42" s="4">
        <v>192</v>
      </c>
      <c r="G42" s="4">
        <v>607</v>
      </c>
      <c r="H42" s="3">
        <f t="shared" si="3"/>
        <v>3.157900760757543</v>
      </c>
      <c r="I42" s="32">
        <f t="shared" si="4"/>
        <v>0.005173630163831622</v>
      </c>
      <c r="J42">
        <f t="shared" si="5"/>
        <v>84</v>
      </c>
    </row>
    <row r="43" spans="1:10" ht="15">
      <c r="A43" t="s">
        <v>40</v>
      </c>
      <c r="B43" s="2">
        <v>263.3600000000001</v>
      </c>
      <c r="C43" s="3">
        <v>775.9359205002994</v>
      </c>
      <c r="D43" s="3">
        <v>181150</v>
      </c>
      <c r="E43" s="4">
        <v>5</v>
      </c>
      <c r="F43" s="4">
        <v>254</v>
      </c>
      <c r="G43" s="4">
        <v>783</v>
      </c>
      <c r="H43" s="3">
        <f t="shared" si="3"/>
        <v>2.3684300076754674</v>
      </c>
      <c r="I43" s="32">
        <f t="shared" si="4"/>
        <v>0.006767526325416111</v>
      </c>
      <c r="J43">
        <f t="shared" si="5"/>
        <v>73</v>
      </c>
    </row>
    <row r="44" spans="1:10" ht="15">
      <c r="A44" t="s">
        <v>41</v>
      </c>
      <c r="B44" s="2">
        <v>434.68000000000023</v>
      </c>
      <c r="C44" s="3">
        <v>336.44900499104983</v>
      </c>
      <c r="D44" s="3">
        <v>131383</v>
      </c>
      <c r="E44" s="4">
        <v>4</v>
      </c>
      <c r="F44" s="4">
        <v>266</v>
      </c>
      <c r="G44" s="4">
        <v>777</v>
      </c>
      <c r="H44" s="3">
        <f t="shared" si="3"/>
        <v>3.240551857223037</v>
      </c>
      <c r="I44" s="32">
        <f t="shared" si="4"/>
        <v>0.0070549502234067574</v>
      </c>
      <c r="J44">
        <f t="shared" si="5"/>
        <v>85</v>
      </c>
    </row>
    <row r="45" spans="1:10" ht="15">
      <c r="A45" t="s">
        <v>42</v>
      </c>
      <c r="B45" s="2">
        <v>158.16000000000005</v>
      </c>
      <c r="C45" s="3">
        <v>3221.6909984086356</v>
      </c>
      <c r="D45" s="3">
        <v>465631</v>
      </c>
      <c r="E45" s="4">
        <v>7</v>
      </c>
      <c r="F45" s="4">
        <v>297</v>
      </c>
      <c r="G45" s="4">
        <v>1046</v>
      </c>
      <c r="H45" s="3">
        <f t="shared" si="3"/>
        <v>1.2309117840768908</v>
      </c>
      <c r="I45" s="32">
        <f t="shared" si="4"/>
        <v>0.00794335136265057</v>
      </c>
      <c r="J45">
        <f t="shared" si="5"/>
        <v>48</v>
      </c>
    </row>
    <row r="46" spans="1:10" ht="15">
      <c r="A46" t="s">
        <v>43</v>
      </c>
      <c r="B46" s="2">
        <v>380.79999999999967</v>
      </c>
      <c r="C46" s="3">
        <v>707.5460503249816</v>
      </c>
      <c r="D46" s="3">
        <v>262351</v>
      </c>
      <c r="E46" s="4">
        <v>5</v>
      </c>
      <c r="F46" s="4">
        <v>520</v>
      </c>
      <c r="G46" s="4">
        <v>1351</v>
      </c>
      <c r="H46" s="3">
        <f t="shared" si="3"/>
        <v>2.821692970877716</v>
      </c>
      <c r="I46" s="32">
        <f t="shared" si="4"/>
        <v>0.01371795876773536</v>
      </c>
      <c r="J46">
        <f t="shared" si="5"/>
        <v>81</v>
      </c>
    </row>
    <row r="47" spans="1:10" ht="15">
      <c r="A47" t="s">
        <v>44</v>
      </c>
      <c r="B47" s="2">
        <v>434.1999999999999</v>
      </c>
      <c r="C47" s="3">
        <v>746.8597837540084</v>
      </c>
      <c r="D47" s="3">
        <v>295572</v>
      </c>
      <c r="E47" s="4">
        <v>9</v>
      </c>
      <c r="F47" s="4">
        <v>502</v>
      </c>
      <c r="G47" s="4">
        <v>1343</v>
      </c>
      <c r="H47" s="3">
        <f t="shared" si="3"/>
        <v>2.489716248355406</v>
      </c>
      <c r="I47" s="32">
        <f t="shared" si="4"/>
        <v>0.013352146533929085</v>
      </c>
      <c r="J47">
        <f t="shared" si="5"/>
        <v>76</v>
      </c>
    </row>
    <row r="48" spans="1:10" ht="15">
      <c r="A48" t="s">
        <v>45</v>
      </c>
      <c r="B48" s="2">
        <v>376.65999999999985</v>
      </c>
      <c r="C48" s="3">
        <v>652.7612179854636</v>
      </c>
      <c r="D48" s="3">
        <v>227751</v>
      </c>
      <c r="E48" s="4">
        <v>6</v>
      </c>
      <c r="F48" s="4">
        <v>225</v>
      </c>
      <c r="G48" s="4">
        <v>722</v>
      </c>
      <c r="H48" s="3">
        <f t="shared" si="3"/>
        <v>1.7370568662976864</v>
      </c>
      <c r="I48" s="32">
        <f t="shared" si="4"/>
        <v>0.006035901857803559</v>
      </c>
      <c r="J48">
        <f t="shared" si="5"/>
        <v>63</v>
      </c>
    </row>
    <row r="49" spans="1:10" ht="15">
      <c r="A49" t="s">
        <v>46</v>
      </c>
      <c r="B49" s="2">
        <v>276.89999999999986</v>
      </c>
      <c r="C49" s="3">
        <v>2251.648213912681</v>
      </c>
      <c r="D49" s="3">
        <v>538932</v>
      </c>
      <c r="E49" s="4">
        <v>16</v>
      </c>
      <c r="F49" s="4">
        <v>707</v>
      </c>
      <c r="G49" s="4">
        <v>1885</v>
      </c>
      <c r="H49" s="3">
        <f t="shared" si="3"/>
        <v>1.9165251132401995</v>
      </c>
      <c r="I49" s="32">
        <f t="shared" si="4"/>
        <v>0.018891588931566984</v>
      </c>
      <c r="J49">
        <f t="shared" si="5"/>
        <v>66</v>
      </c>
    </row>
    <row r="50" spans="1:10" ht="15">
      <c r="A50" t="s">
        <v>47</v>
      </c>
      <c r="B50" s="2">
        <v>302.4299999999998</v>
      </c>
      <c r="C50" s="3">
        <v>4587.441243366186</v>
      </c>
      <c r="D50" s="3">
        <v>1210167</v>
      </c>
      <c r="E50" s="4">
        <v>15</v>
      </c>
      <c r="F50" s="4">
        <v>861</v>
      </c>
      <c r="G50" s="4">
        <v>2290</v>
      </c>
      <c r="H50" s="3">
        <f t="shared" si="3"/>
        <v>1.0368771587292869</v>
      </c>
      <c r="I50" s="32">
        <f t="shared" si="4"/>
        <v>0.022889394058164144</v>
      </c>
      <c r="J50">
        <f t="shared" si="5"/>
        <v>38</v>
      </c>
    </row>
    <row r="51" spans="1:10" ht="15">
      <c r="A51" t="s">
        <v>48</v>
      </c>
      <c r="B51" s="2">
        <v>343.90999999999974</v>
      </c>
      <c r="C51" s="3">
        <v>782.0900831378984</v>
      </c>
      <c r="D51" s="3">
        <v>259449</v>
      </c>
      <c r="E51" s="4">
        <v>4</v>
      </c>
      <c r="F51" s="4">
        <v>217</v>
      </c>
      <c r="G51" s="4">
        <v>502</v>
      </c>
      <c r="H51" s="3">
        <f t="shared" si="3"/>
        <v>1.0602025567671678</v>
      </c>
      <c r="I51" s="32">
        <f t="shared" si="4"/>
        <v>0.00577460740508479</v>
      </c>
      <c r="J51">
        <f t="shared" si="5"/>
        <v>40</v>
      </c>
    </row>
    <row r="52" spans="1:10" ht="15">
      <c r="A52" t="s">
        <v>49</v>
      </c>
      <c r="B52" s="2">
        <v>502.9199999999996</v>
      </c>
      <c r="C52" s="3">
        <v>3432.4187411432604</v>
      </c>
      <c r="D52" s="3">
        <v>1538084</v>
      </c>
      <c r="E52" s="4">
        <v>12</v>
      </c>
      <c r="F52" s="4">
        <v>1450</v>
      </c>
      <c r="G52" s="4">
        <v>4765</v>
      </c>
      <c r="H52" s="3">
        <f t="shared" si="3"/>
        <v>1.6975398639538473</v>
      </c>
      <c r="I52" s="32">
        <f t="shared" si="4"/>
        <v>0.038201248987484</v>
      </c>
      <c r="J52">
        <f t="shared" si="5"/>
        <v>58</v>
      </c>
    </row>
    <row r="53" spans="1:10" ht="15">
      <c r="A53" t="s">
        <v>50</v>
      </c>
      <c r="B53" s="2">
        <v>389.6359999999992</v>
      </c>
      <c r="C53" s="3">
        <v>1617.9403877469992</v>
      </c>
      <c r="D53" s="3">
        <v>599112</v>
      </c>
      <c r="E53" s="4">
        <v>11</v>
      </c>
      <c r="F53" s="4">
        <v>266</v>
      </c>
      <c r="G53" s="4">
        <v>727</v>
      </c>
      <c r="H53" s="3">
        <f t="shared" si="3"/>
        <v>0.6649110089324897</v>
      </c>
      <c r="I53" s="32">
        <f t="shared" si="4"/>
        <v>0.007237856340309895</v>
      </c>
      <c r="J53">
        <f t="shared" si="5"/>
        <v>18</v>
      </c>
    </row>
    <row r="54" spans="1:10" ht="15">
      <c r="A54" t="s">
        <v>51</v>
      </c>
      <c r="B54" s="2">
        <v>351.76999999999987</v>
      </c>
      <c r="C54" s="3">
        <v>2524.197990034408</v>
      </c>
      <c r="D54" s="3">
        <v>779124</v>
      </c>
      <c r="E54" s="4">
        <v>9</v>
      </c>
      <c r="F54" s="4">
        <v>573</v>
      </c>
      <c r="G54" s="4">
        <v>1571</v>
      </c>
      <c r="H54" s="3">
        <f t="shared" si="3"/>
        <v>1.1048586846358464</v>
      </c>
      <c r="I54" s="32">
        <f t="shared" si="4"/>
        <v>0.015207337148232343</v>
      </c>
      <c r="J54">
        <f t="shared" si="5"/>
        <v>47</v>
      </c>
    </row>
    <row r="55" spans="1:10" ht="15">
      <c r="A55" t="s">
        <v>52</v>
      </c>
      <c r="B55" s="2">
        <v>259.35999999999996</v>
      </c>
      <c r="C55" s="3">
        <v>442.6428431180053</v>
      </c>
      <c r="D55" s="3">
        <v>112719</v>
      </c>
      <c r="E55" s="4">
        <v>4</v>
      </c>
      <c r="F55" s="4">
        <v>130</v>
      </c>
      <c r="G55" s="4">
        <v>296</v>
      </c>
      <c r="H55" s="3">
        <f t="shared" si="3"/>
        <v>1.4389036526399082</v>
      </c>
      <c r="I55" s="32">
        <f t="shared" si="4"/>
        <v>0.0035013456664315015</v>
      </c>
      <c r="J55">
        <f t="shared" si="5"/>
        <v>54</v>
      </c>
    </row>
    <row r="56" spans="1:10" ht="15">
      <c r="A56" t="s">
        <v>53</v>
      </c>
      <c r="B56" s="2">
        <v>399.80899999999946</v>
      </c>
      <c r="C56" s="3">
        <v>489.8958873509119</v>
      </c>
      <c r="D56" s="3">
        <v>184218</v>
      </c>
      <c r="E56" s="4">
        <v>6</v>
      </c>
      <c r="F56" s="4">
        <v>131</v>
      </c>
      <c r="G56" s="4">
        <v>329</v>
      </c>
      <c r="H56" s="3">
        <f t="shared" si="3"/>
        <v>0.9785904341744006</v>
      </c>
      <c r="I56" s="32">
        <f t="shared" si="4"/>
        <v>0.0035797340022471324</v>
      </c>
      <c r="J56">
        <f t="shared" si="5"/>
        <v>32</v>
      </c>
    </row>
    <row r="57" spans="1:10" ht="15">
      <c r="A57" t="s">
        <v>54</v>
      </c>
      <c r="B57" s="2">
        <v>447.6599999999993</v>
      </c>
      <c r="C57" s="3">
        <v>2758.7248305028543</v>
      </c>
      <c r="D57" s="3">
        <v>1081536</v>
      </c>
      <c r="E57" s="4">
        <v>16</v>
      </c>
      <c r="F57" s="4">
        <v>303</v>
      </c>
      <c r="G57" s="4">
        <v>1157</v>
      </c>
      <c r="H57" s="3">
        <f t="shared" si="3"/>
        <v>0.586177993834441</v>
      </c>
      <c r="I57" s="32">
        <f t="shared" si="4"/>
        <v>0.008335293041728723</v>
      </c>
      <c r="J57">
        <f t="shared" si="5"/>
        <v>15</v>
      </c>
    </row>
    <row r="58" spans="1:10" ht="15">
      <c r="A58" t="s">
        <v>55</v>
      </c>
      <c r="B58" s="2">
        <v>372.2200000000002</v>
      </c>
      <c r="C58" s="3">
        <v>217.56302758250752</v>
      </c>
      <c r="D58" s="3">
        <v>77063</v>
      </c>
      <c r="E58" s="4">
        <v>1</v>
      </c>
      <c r="F58" s="4">
        <v>35</v>
      </c>
      <c r="G58" s="4">
        <v>142</v>
      </c>
      <c r="H58" s="3">
        <f t="shared" si="3"/>
        <v>1.0096702591137405</v>
      </c>
      <c r="I58" s="32">
        <f t="shared" si="4"/>
        <v>0.0009406600297875677</v>
      </c>
      <c r="J58">
        <f t="shared" si="5"/>
        <v>34</v>
      </c>
    </row>
    <row r="59" spans="1:10" ht="15">
      <c r="A59" t="s">
        <v>56</v>
      </c>
      <c r="B59" s="2">
        <v>339.02</v>
      </c>
      <c r="C59" s="3">
        <v>4306.20358163491</v>
      </c>
      <c r="D59" s="3">
        <v>1051773</v>
      </c>
      <c r="E59" s="4">
        <v>27</v>
      </c>
      <c r="F59" s="4">
        <v>1240</v>
      </c>
      <c r="G59" s="4">
        <v>3331</v>
      </c>
      <c r="H59" s="3">
        <f t="shared" si="3"/>
        <v>1.7353606523955785</v>
      </c>
      <c r="I59" s="32">
        <f t="shared" si="4"/>
        <v>0.033106007159468</v>
      </c>
      <c r="J59">
        <f t="shared" si="5"/>
        <v>61</v>
      </c>
    </row>
    <row r="60" spans="1:10" ht="15">
      <c r="A60" t="s">
        <v>57</v>
      </c>
      <c r="B60" s="2">
        <v>345.28899999999976</v>
      </c>
      <c r="C60" s="3">
        <v>614.5977014846153</v>
      </c>
      <c r="D60" s="3">
        <v>210756</v>
      </c>
      <c r="E60" s="4">
        <v>1</v>
      </c>
      <c r="F60" s="4">
        <v>42</v>
      </c>
      <c r="G60" s="4">
        <v>137</v>
      </c>
      <c r="H60" s="3">
        <f t="shared" si="3"/>
        <v>0.3561867427294356</v>
      </c>
      <c r="I60" s="32">
        <f t="shared" si="4"/>
        <v>0.0011235661466907057</v>
      </c>
      <c r="J60">
        <f t="shared" si="5"/>
        <v>3</v>
      </c>
    </row>
    <row r="61" spans="1:10" ht="15">
      <c r="A61" t="s">
        <v>58</v>
      </c>
      <c r="B61" s="2">
        <v>379.4699999999997</v>
      </c>
      <c r="C61" s="3">
        <v>635.6978057307116</v>
      </c>
      <c r="D61" s="3">
        <v>235301</v>
      </c>
      <c r="E61" s="4">
        <v>8</v>
      </c>
      <c r="F61" s="4">
        <v>200</v>
      </c>
      <c r="G61" s="4">
        <v>539</v>
      </c>
      <c r="H61" s="3">
        <f t="shared" si="3"/>
        <v>1.255168765765656</v>
      </c>
      <c r="I61" s="32">
        <f t="shared" si="4"/>
        <v>0.0054349246165503904</v>
      </c>
      <c r="J61">
        <f t="shared" si="5"/>
        <v>49</v>
      </c>
    </row>
    <row r="62" spans="1:10" ht="15">
      <c r="A62" t="s">
        <v>59</v>
      </c>
      <c r="B62" s="2">
        <v>546.0919999999991</v>
      </c>
      <c r="C62" s="3">
        <v>1820.7500062657964</v>
      </c>
      <c r="D62" s="3">
        <v>944403</v>
      </c>
      <c r="E62" s="4">
        <v>7</v>
      </c>
      <c r="F62" s="4">
        <v>489</v>
      </c>
      <c r="G62" s="4">
        <v>1466</v>
      </c>
      <c r="H62" s="3">
        <f t="shared" si="3"/>
        <v>0.8505772125171952</v>
      </c>
      <c r="I62" s="32">
        <f t="shared" si="4"/>
        <v>0.01296020485485093</v>
      </c>
      <c r="J62">
        <f t="shared" si="5"/>
        <v>27</v>
      </c>
    </row>
    <row r="63" spans="1:10" ht="15">
      <c r="A63" t="s">
        <v>60</v>
      </c>
      <c r="B63" s="2">
        <v>268.68999999999994</v>
      </c>
      <c r="C63" s="3">
        <v>292.69691216923013</v>
      </c>
      <c r="D63" s="3">
        <v>75548</v>
      </c>
      <c r="E63" s="4">
        <v>1</v>
      </c>
      <c r="F63" s="4">
        <v>16</v>
      </c>
      <c r="G63" s="4">
        <v>40</v>
      </c>
      <c r="H63" s="3">
        <f t="shared" si="3"/>
        <v>0.29011764996</v>
      </c>
      <c r="I63" s="32">
        <f t="shared" si="4"/>
        <v>0.00044420056962190694</v>
      </c>
      <c r="J63">
        <f t="shared" si="5"/>
        <v>1</v>
      </c>
    </row>
    <row r="64" spans="1:10" ht="15">
      <c r="A64" t="s">
        <v>61</v>
      </c>
      <c r="B64" s="2">
        <v>165.336</v>
      </c>
      <c r="C64" s="3">
        <v>3472.0475236477064</v>
      </c>
      <c r="D64" s="3">
        <v>547653</v>
      </c>
      <c r="E64" s="4">
        <v>4</v>
      </c>
      <c r="F64" s="4">
        <v>141</v>
      </c>
      <c r="G64" s="4">
        <v>412</v>
      </c>
      <c r="H64" s="3">
        <f t="shared" si="3"/>
        <v>0.4122198265279917</v>
      </c>
      <c r="I64" s="32">
        <f t="shared" si="4"/>
        <v>0.0037887695644221475</v>
      </c>
      <c r="J64">
        <f t="shared" si="5"/>
        <v>5</v>
      </c>
    </row>
    <row r="65" spans="1:10" ht="15">
      <c r="A65" t="s">
        <v>62</v>
      </c>
      <c r="B65" s="2">
        <v>337.92999999999955</v>
      </c>
      <c r="C65" s="3">
        <v>590.6857259932872</v>
      </c>
      <c r="D65" s="3">
        <v>187398</v>
      </c>
      <c r="E65" s="4">
        <v>3</v>
      </c>
      <c r="F65" s="4">
        <v>97</v>
      </c>
      <c r="G65" s="4">
        <v>263</v>
      </c>
      <c r="H65" s="3">
        <f t="shared" si="3"/>
        <v>0.7690028124157989</v>
      </c>
      <c r="I65" s="32">
        <f t="shared" si="4"/>
        <v>0.002612944527187688</v>
      </c>
      <c r="J65">
        <f t="shared" si="5"/>
        <v>25</v>
      </c>
    </row>
    <row r="66" spans="1:10" ht="15">
      <c r="A66" t="s">
        <v>63</v>
      </c>
      <c r="B66" s="2">
        <v>336.1090000000001</v>
      </c>
      <c r="C66" s="3">
        <v>293.4908119164658</v>
      </c>
      <c r="D66" s="3">
        <v>88960</v>
      </c>
      <c r="E66" s="4">
        <v>4</v>
      </c>
      <c r="F66" s="4">
        <v>229</v>
      </c>
      <c r="G66" s="4">
        <v>574</v>
      </c>
      <c r="H66" s="3">
        <f t="shared" si="3"/>
        <v>3.5355277421898097</v>
      </c>
      <c r="I66" s="32">
        <f t="shared" si="4"/>
        <v>0.0060881607483473125</v>
      </c>
      <c r="J66">
        <f t="shared" si="5"/>
        <v>88</v>
      </c>
    </row>
    <row r="67" spans="1:10" ht="15">
      <c r="A67" t="s">
        <v>64</v>
      </c>
      <c r="B67" s="2">
        <v>258.23999999999995</v>
      </c>
      <c r="C67" s="3">
        <v>913.396340770484</v>
      </c>
      <c r="D67" s="3">
        <v>192902</v>
      </c>
      <c r="E67" s="4">
        <v>15</v>
      </c>
      <c r="F67" s="4">
        <v>209</v>
      </c>
      <c r="G67" s="4">
        <v>611</v>
      </c>
      <c r="H67" s="3">
        <f aca="true" t="shared" si="6" ref="H67:H98">G67*1000000/(5*365*B67*D67/B67)</f>
        <v>1.7355679077870898</v>
      </c>
      <c r="I67" s="32">
        <f aca="true" t="shared" si="7" ref="I67:I90">SUM($E67:$F67)/SUM($E$3:$F$90)</f>
        <v>0.005852995740900421</v>
      </c>
      <c r="J67">
        <f aca="true" t="shared" si="8" ref="J67:J90">_xlfn.RANK.AVG(H67,H$1:H$65536,1)</f>
        <v>62</v>
      </c>
    </row>
    <row r="68" spans="1:10" ht="15">
      <c r="A68" t="s">
        <v>65</v>
      </c>
      <c r="B68" s="2">
        <v>355.03</v>
      </c>
      <c r="C68" s="3">
        <v>440.7539461115788</v>
      </c>
      <c r="D68" s="3">
        <v>139812</v>
      </c>
      <c r="E68" s="4">
        <v>10</v>
      </c>
      <c r="F68" s="4">
        <v>255</v>
      </c>
      <c r="G68" s="4">
        <v>669</v>
      </c>
      <c r="H68" s="3">
        <f t="shared" si="6"/>
        <v>2.621916162173157</v>
      </c>
      <c r="I68" s="32">
        <f t="shared" si="7"/>
        <v>0.006924302997047373</v>
      </c>
      <c r="J68">
        <f t="shared" si="8"/>
        <v>78</v>
      </c>
    </row>
    <row r="69" spans="1:10" ht="15">
      <c r="A69" t="s">
        <v>66</v>
      </c>
      <c r="B69" s="2">
        <v>376.62999999999937</v>
      </c>
      <c r="C69" s="3">
        <v>6158.959992357024</v>
      </c>
      <c r="D69" s="3">
        <v>2191863</v>
      </c>
      <c r="E69" s="4">
        <v>6</v>
      </c>
      <c r="F69" s="4">
        <v>682</v>
      </c>
      <c r="G69" s="4">
        <v>1904</v>
      </c>
      <c r="H69" s="3">
        <f t="shared" si="6"/>
        <v>0.4759821536441268</v>
      </c>
      <c r="I69" s="32">
        <f t="shared" si="7"/>
        <v>0.01797705834705129</v>
      </c>
      <c r="J69">
        <f t="shared" si="8"/>
        <v>8</v>
      </c>
    </row>
    <row r="70" spans="1:10" ht="15">
      <c r="A70" t="s">
        <v>67</v>
      </c>
      <c r="B70" s="2">
        <v>291.17600000000004</v>
      </c>
      <c r="C70" s="3">
        <v>333.5426560979462</v>
      </c>
      <c r="D70" s="3">
        <v>80203</v>
      </c>
      <c r="E70" s="4">
        <v>13</v>
      </c>
      <c r="F70" s="4">
        <v>193</v>
      </c>
      <c r="G70" s="4">
        <v>490</v>
      </c>
      <c r="H70" s="3">
        <f t="shared" si="6"/>
        <v>3.3476696717695287</v>
      </c>
      <c r="I70" s="32">
        <f t="shared" si="7"/>
        <v>0.005382665726006637</v>
      </c>
      <c r="J70">
        <f t="shared" si="8"/>
        <v>86</v>
      </c>
    </row>
    <row r="71" spans="1:10" ht="15">
      <c r="A71" t="s">
        <v>68</v>
      </c>
      <c r="B71" s="2">
        <v>338.4009999999998</v>
      </c>
      <c r="C71" s="3">
        <v>881.4318376948704</v>
      </c>
      <c r="D71" s="3">
        <v>280268</v>
      </c>
      <c r="E71" s="4">
        <v>1</v>
      </c>
      <c r="F71" s="4">
        <v>72</v>
      </c>
      <c r="G71" s="4">
        <v>197</v>
      </c>
      <c r="H71" s="3">
        <f t="shared" si="6"/>
        <v>0.3851499474768866</v>
      </c>
      <c r="I71" s="32">
        <f t="shared" si="7"/>
        <v>0.0019074495048470121</v>
      </c>
      <c r="J71">
        <f t="shared" si="8"/>
        <v>4</v>
      </c>
    </row>
    <row r="72" spans="1:10" ht="15">
      <c r="A72" t="s">
        <v>69</v>
      </c>
      <c r="B72" s="2">
        <v>360.74</v>
      </c>
      <c r="C72" s="3">
        <v>2868.511061777541</v>
      </c>
      <c r="D72" s="3">
        <v>936784</v>
      </c>
      <c r="E72" s="4">
        <v>3</v>
      </c>
      <c r="F72" s="4">
        <v>462</v>
      </c>
      <c r="G72" s="4">
        <v>1275</v>
      </c>
      <c r="H72" s="3">
        <f t="shared" si="6"/>
        <v>0.7457750527189847</v>
      </c>
      <c r="I72" s="32">
        <f t="shared" si="7"/>
        <v>0.012150192051422749</v>
      </c>
      <c r="J72">
        <f t="shared" si="8"/>
        <v>22</v>
      </c>
    </row>
    <row r="73" spans="1:10" ht="15">
      <c r="A73" t="s">
        <v>70</v>
      </c>
      <c r="B73" s="2">
        <v>457.32000000000016</v>
      </c>
      <c r="C73" s="3">
        <v>770.5371858261226</v>
      </c>
      <c r="D73" s="3">
        <v>299215</v>
      </c>
      <c r="E73" s="4">
        <v>18</v>
      </c>
      <c r="F73" s="4">
        <v>609</v>
      </c>
      <c r="G73" s="4">
        <v>1550</v>
      </c>
      <c r="H73" s="3">
        <f t="shared" si="6"/>
        <v>2.838477577972865</v>
      </c>
      <c r="I73" s="32">
        <f t="shared" si="7"/>
        <v>0.0163831621854668</v>
      </c>
      <c r="J73">
        <f t="shared" si="8"/>
        <v>82</v>
      </c>
    </row>
    <row r="74" spans="1:10" ht="15">
      <c r="A74" t="s">
        <v>71</v>
      </c>
      <c r="B74" s="2">
        <v>325.2519999999994</v>
      </c>
      <c r="C74" s="3">
        <v>975.4681306116271</v>
      </c>
      <c r="D74" s="3">
        <v>283234</v>
      </c>
      <c r="E74" s="4">
        <v>10</v>
      </c>
      <c r="F74" s="4">
        <v>248</v>
      </c>
      <c r="G74" s="4">
        <v>652</v>
      </c>
      <c r="H74" s="3">
        <f t="shared" si="6"/>
        <v>1.2613608322892125</v>
      </c>
      <c r="I74" s="32">
        <f t="shared" si="7"/>
        <v>0.006741396880144235</v>
      </c>
      <c r="J74">
        <f t="shared" si="8"/>
        <v>50</v>
      </c>
    </row>
    <row r="75" spans="1:10" ht="15">
      <c r="A75" t="s">
        <v>72</v>
      </c>
      <c r="B75" s="2">
        <v>418.70699999999977</v>
      </c>
      <c r="C75" s="3">
        <v>792.0507253528077</v>
      </c>
      <c r="D75" s="3">
        <v>321034</v>
      </c>
      <c r="E75" s="4">
        <v>15</v>
      </c>
      <c r="F75" s="4">
        <v>659</v>
      </c>
      <c r="G75" s="4">
        <v>1762</v>
      </c>
      <c r="H75" s="3">
        <f t="shared" si="6"/>
        <v>3.0074056082994156</v>
      </c>
      <c r="I75" s="32">
        <f t="shared" si="7"/>
        <v>0.017611246113245015</v>
      </c>
      <c r="J75">
        <f t="shared" si="8"/>
        <v>83</v>
      </c>
    </row>
    <row r="76" spans="1:10" ht="15">
      <c r="A76" t="s">
        <v>73</v>
      </c>
      <c r="B76" s="2">
        <v>397.922999999999</v>
      </c>
      <c r="C76" s="3">
        <v>750.8919664719082</v>
      </c>
      <c r="D76" s="3">
        <v>289803</v>
      </c>
      <c r="E76" s="4">
        <v>4</v>
      </c>
      <c r="F76" s="4">
        <v>188</v>
      </c>
      <c r="G76" s="4">
        <v>465</v>
      </c>
      <c r="H76" s="3">
        <f t="shared" si="6"/>
        <v>0.8791990439986654</v>
      </c>
      <c r="I76" s="32">
        <f t="shared" si="7"/>
        <v>0.00501685349220036</v>
      </c>
      <c r="J76">
        <f t="shared" si="8"/>
        <v>28</v>
      </c>
    </row>
    <row r="77" spans="1:10" ht="15">
      <c r="A77" t="s">
        <v>74</v>
      </c>
      <c r="B77" s="2">
        <v>418.1529999999995</v>
      </c>
      <c r="C77" s="3">
        <v>971.4711020965548</v>
      </c>
      <c r="D77" s="3">
        <v>387003</v>
      </c>
      <c r="E77" s="4">
        <v>11</v>
      </c>
      <c r="F77" s="4">
        <v>253</v>
      </c>
      <c r="G77" s="4">
        <v>694</v>
      </c>
      <c r="H77" s="3">
        <f t="shared" si="6"/>
        <v>0.9826124670938979</v>
      </c>
      <c r="I77" s="32">
        <f t="shared" si="7"/>
        <v>0.006898173551775496</v>
      </c>
      <c r="J77">
        <f t="shared" si="8"/>
        <v>33</v>
      </c>
    </row>
    <row r="78" spans="1:10" ht="15">
      <c r="A78" t="s">
        <v>75</v>
      </c>
      <c r="B78" s="2">
        <v>420.9699999999995</v>
      </c>
      <c r="C78" s="3">
        <v>5959.840774096216</v>
      </c>
      <c r="D78" s="3">
        <v>2196398</v>
      </c>
      <c r="E78" s="4">
        <v>35</v>
      </c>
      <c r="F78" s="4">
        <v>2255</v>
      </c>
      <c r="G78" s="4">
        <v>8078</v>
      </c>
      <c r="H78" s="3">
        <f t="shared" si="6"/>
        <v>2.0152546896614427</v>
      </c>
      <c r="I78" s="32">
        <f t="shared" si="7"/>
        <v>0.05983642967259805</v>
      </c>
      <c r="J78">
        <f t="shared" si="8"/>
        <v>67</v>
      </c>
    </row>
    <row r="79" spans="1:10" ht="15">
      <c r="A79" t="s">
        <v>76</v>
      </c>
      <c r="B79" s="2">
        <v>198.27000000000024</v>
      </c>
      <c r="C79" s="3">
        <v>8856.096007556946</v>
      </c>
      <c r="D79" s="3">
        <v>1237542</v>
      </c>
      <c r="E79" s="4">
        <v>11</v>
      </c>
      <c r="F79" s="4">
        <v>677</v>
      </c>
      <c r="G79" s="4">
        <v>2405</v>
      </c>
      <c r="H79" s="3">
        <f t="shared" si="6"/>
        <v>1.0648593899666294</v>
      </c>
      <c r="I79" s="32">
        <f t="shared" si="7"/>
        <v>0.01797705834705129</v>
      </c>
      <c r="J79">
        <f t="shared" si="8"/>
        <v>41</v>
      </c>
    </row>
    <row r="80" spans="1:10" ht="15">
      <c r="A80" t="s">
        <v>77</v>
      </c>
      <c r="B80" s="2">
        <v>467.90999999999855</v>
      </c>
      <c r="C80" s="3">
        <v>2153.379663017113</v>
      </c>
      <c r="D80" s="3">
        <v>853983</v>
      </c>
      <c r="E80" s="4">
        <v>20</v>
      </c>
      <c r="F80" s="4">
        <v>886</v>
      </c>
      <c r="G80" s="4">
        <v>2555</v>
      </c>
      <c r="H80" s="3">
        <f t="shared" si="6"/>
        <v>1.639376896261401</v>
      </c>
      <c r="I80" s="32">
        <f t="shared" si="7"/>
        <v>0.02367327741632045</v>
      </c>
      <c r="J80">
        <f t="shared" si="8"/>
        <v>56</v>
      </c>
    </row>
    <row r="81" spans="1:10" ht="15">
      <c r="A81" t="s">
        <v>78</v>
      </c>
      <c r="B81" s="2">
        <v>475.5799999999995</v>
      </c>
      <c r="C81" s="3">
        <v>673.9198290871007</v>
      </c>
      <c r="D81" s="3">
        <v>291471</v>
      </c>
      <c r="E81" s="4">
        <v>9</v>
      </c>
      <c r="F81" s="4">
        <v>518</v>
      </c>
      <c r="G81" s="4">
        <v>1417</v>
      </c>
      <c r="H81" s="3">
        <f t="shared" si="6"/>
        <v>2.6638614344630636</v>
      </c>
      <c r="I81" s="32">
        <f t="shared" si="7"/>
        <v>0.013770217658279115</v>
      </c>
      <c r="J81">
        <f t="shared" si="8"/>
        <v>79</v>
      </c>
    </row>
    <row r="82" spans="1:10" ht="15">
      <c r="A82" t="s">
        <v>79</v>
      </c>
      <c r="B82" s="2">
        <v>466.4499999999996</v>
      </c>
      <c r="C82" s="3">
        <v>852.7784093542986</v>
      </c>
      <c r="D82" s="3">
        <v>386318</v>
      </c>
      <c r="E82" s="4">
        <v>11</v>
      </c>
      <c r="F82" s="4">
        <v>226</v>
      </c>
      <c r="G82" s="4">
        <v>621</v>
      </c>
      <c r="H82" s="3">
        <f t="shared" si="6"/>
        <v>0.8808131451362341</v>
      </c>
      <c r="I82" s="32">
        <f t="shared" si="7"/>
        <v>0.00619267852943482</v>
      </c>
      <c r="J82">
        <f t="shared" si="8"/>
        <v>29</v>
      </c>
    </row>
    <row r="83" spans="1:10" ht="15">
      <c r="A83" t="s">
        <v>80</v>
      </c>
      <c r="B83" s="2">
        <v>275.1689999999996</v>
      </c>
      <c r="C83" s="3">
        <v>1166.5358558347496</v>
      </c>
      <c r="D83" s="3">
        <v>298744</v>
      </c>
      <c r="E83" s="4">
        <v>2</v>
      </c>
      <c r="F83" s="4">
        <v>101</v>
      </c>
      <c r="G83" s="4">
        <v>252</v>
      </c>
      <c r="H83" s="3">
        <f t="shared" si="6"/>
        <v>0.46220908798443455</v>
      </c>
      <c r="I83" s="32">
        <f t="shared" si="7"/>
        <v>0.0026913328630033184</v>
      </c>
      <c r="J83">
        <f t="shared" si="8"/>
        <v>7</v>
      </c>
    </row>
    <row r="84" spans="1:10" ht="15">
      <c r="A84" t="s">
        <v>81</v>
      </c>
      <c r="B84" s="2">
        <v>198.83000000000004</v>
      </c>
      <c r="C84" s="3">
        <v>194.80254910154613</v>
      </c>
      <c r="D84" s="3">
        <v>37293</v>
      </c>
      <c r="E84" s="4">
        <v>3</v>
      </c>
      <c r="F84" s="4">
        <v>75</v>
      </c>
      <c r="G84" s="4">
        <v>184</v>
      </c>
      <c r="H84" s="3">
        <f t="shared" si="6"/>
        <v>2.703507838152446</v>
      </c>
      <c r="I84" s="32">
        <f t="shared" si="7"/>
        <v>0.0020380967312063963</v>
      </c>
      <c r="J84">
        <f t="shared" si="8"/>
        <v>80</v>
      </c>
    </row>
    <row r="85" spans="1:10" ht="15">
      <c r="A85" t="s">
        <v>82</v>
      </c>
      <c r="B85" s="2">
        <v>273.74999999999966</v>
      </c>
      <c r="C85" s="3">
        <v>5986.866587324206</v>
      </c>
      <c r="D85" s="3">
        <v>1428634</v>
      </c>
      <c r="E85" s="4">
        <v>11</v>
      </c>
      <c r="F85" s="4">
        <v>1003</v>
      </c>
      <c r="G85" s="4">
        <v>3361</v>
      </c>
      <c r="H85" s="3">
        <f t="shared" si="6"/>
        <v>1.2890942226045567</v>
      </c>
      <c r="I85" s="32">
        <f t="shared" si="7"/>
        <v>0.026495257505683153</v>
      </c>
      <c r="J85">
        <f t="shared" si="8"/>
        <v>51</v>
      </c>
    </row>
    <row r="86" spans="1:10" ht="15">
      <c r="A86" t="s">
        <v>83</v>
      </c>
      <c r="B86" s="2">
        <v>341.60899999999947</v>
      </c>
      <c r="C86" s="3">
        <v>1210.0448569866019</v>
      </c>
      <c r="D86" s="3">
        <v>404904</v>
      </c>
      <c r="E86" s="4">
        <v>3</v>
      </c>
      <c r="F86" s="4">
        <v>234</v>
      </c>
      <c r="G86" s="4">
        <v>656</v>
      </c>
      <c r="H86" s="3">
        <f t="shared" si="6"/>
        <v>0.8877463665326117</v>
      </c>
      <c r="I86" s="32">
        <f t="shared" si="7"/>
        <v>0.00619267852943482</v>
      </c>
      <c r="J86">
        <f t="shared" si="8"/>
        <v>30</v>
      </c>
    </row>
    <row r="87" spans="1:10" ht="15">
      <c r="A87" t="s">
        <v>84</v>
      </c>
      <c r="B87" s="2">
        <v>521.5439999999983</v>
      </c>
      <c r="C87" s="3">
        <v>2295.9690961965975</v>
      </c>
      <c r="D87" s="3">
        <v>1106090</v>
      </c>
      <c r="E87" s="4">
        <v>15</v>
      </c>
      <c r="F87" s="4">
        <v>840</v>
      </c>
      <c r="G87" s="4">
        <v>2118</v>
      </c>
      <c r="H87" s="3">
        <f t="shared" si="6"/>
        <v>1.0492346420322753</v>
      </c>
      <c r="I87" s="32">
        <f t="shared" si="7"/>
        <v>0.02234067570745473</v>
      </c>
      <c r="J87">
        <f t="shared" si="8"/>
        <v>39</v>
      </c>
    </row>
    <row r="88" spans="1:10" ht="15">
      <c r="A88" t="s">
        <v>85</v>
      </c>
      <c r="B88" s="2">
        <v>408.7499999999999</v>
      </c>
      <c r="C88" s="3">
        <v>863.3237399262753</v>
      </c>
      <c r="D88" s="3">
        <v>333268</v>
      </c>
      <c r="E88" s="4">
        <v>3</v>
      </c>
      <c r="F88" s="4">
        <v>155</v>
      </c>
      <c r="G88" s="4">
        <v>440</v>
      </c>
      <c r="H88" s="3">
        <f t="shared" si="6"/>
        <v>0.7234294634077046</v>
      </c>
      <c r="I88" s="32">
        <f t="shared" si="7"/>
        <v>0.004128452352956547</v>
      </c>
      <c r="J88">
        <f t="shared" si="8"/>
        <v>21</v>
      </c>
    </row>
    <row r="89" spans="1:10" ht="15">
      <c r="A89" t="s">
        <v>86</v>
      </c>
      <c r="B89" s="2">
        <v>254.06999999999974</v>
      </c>
      <c r="C89" s="3">
        <v>2660.9407099410582</v>
      </c>
      <c r="D89" s="3">
        <v>594526</v>
      </c>
      <c r="E89" s="4">
        <v>10</v>
      </c>
      <c r="F89" s="4">
        <v>243</v>
      </c>
      <c r="G89" s="4">
        <v>642</v>
      </c>
      <c r="H89" s="3">
        <f t="shared" si="6"/>
        <v>0.5916996429387583</v>
      </c>
      <c r="I89" s="32">
        <f t="shared" si="7"/>
        <v>0.00661074965378485</v>
      </c>
      <c r="J89">
        <f t="shared" si="8"/>
        <v>16</v>
      </c>
    </row>
    <row r="90" spans="1:10" ht="15">
      <c r="A90" t="s">
        <v>87</v>
      </c>
      <c r="B90" s="2">
        <v>347.6099999999994</v>
      </c>
      <c r="C90" s="3">
        <v>505.34056511048595</v>
      </c>
      <c r="D90" s="3">
        <v>154756</v>
      </c>
      <c r="E90" s="4">
        <v>1</v>
      </c>
      <c r="F90" s="4">
        <v>55</v>
      </c>
      <c r="G90" s="4">
        <v>142</v>
      </c>
      <c r="H90" s="3">
        <f t="shared" si="6"/>
        <v>0.5027799838331451</v>
      </c>
      <c r="I90" s="32">
        <f t="shared" si="7"/>
        <v>0.0014632489352251052</v>
      </c>
      <c r="J90">
        <f t="shared" si="8"/>
        <v>10</v>
      </c>
    </row>
    <row r="91" ht="15">
      <c r="D91" s="100"/>
    </row>
  </sheetData>
  <sheetProtection/>
  <autoFilter ref="A2:J90"/>
  <printOptions/>
  <pageMargins left="0.7" right="0.7" top="0.75" bottom="0.75" header="0.3" footer="0.3"/>
  <pageSetup fitToHeight="1" fitToWidth="1" horizontalDpi="600" verticalDpi="600" orientation="portrait" paperSize="17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92"/>
  <sheetViews>
    <sheetView zoomScalePageLayoutView="0" workbookViewId="0" topLeftCell="A1">
      <selection activeCell="E4" sqref="E4:G91"/>
    </sheetView>
  </sheetViews>
  <sheetFormatPr defaultColWidth="9.140625" defaultRowHeight="15"/>
  <cols>
    <col min="2" max="2" width="9.28125" style="0" bestFit="1" customWidth="1"/>
    <col min="3" max="3" width="10.57421875" style="0" bestFit="1" customWidth="1"/>
    <col min="4" max="4" width="13.8515625" style="0" bestFit="1" customWidth="1"/>
    <col min="5" max="10" width="11.7109375" style="0" customWidth="1"/>
    <col min="11" max="12" width="9.28125" style="4" bestFit="1" customWidth="1"/>
    <col min="13" max="13" width="11.7109375" style="0" customWidth="1"/>
    <col min="14" max="14" width="9.28125" style="4" bestFit="1" customWidth="1"/>
    <col min="15" max="16" width="9.28125" style="4" customWidth="1"/>
    <col min="18" max="24" width="9.140625" style="0" customWidth="1"/>
  </cols>
  <sheetData>
    <row r="1" spans="5:30" ht="15" customHeight="1">
      <c r="E1" s="146" t="s">
        <v>161</v>
      </c>
      <c r="F1" s="146"/>
      <c r="G1" s="146"/>
      <c r="H1" s="146"/>
      <c r="I1" s="146"/>
      <c r="J1" s="146"/>
      <c r="K1" s="146" t="s">
        <v>162</v>
      </c>
      <c r="L1" s="146"/>
      <c r="M1" s="146"/>
      <c r="N1" s="146"/>
      <c r="O1" s="146"/>
      <c r="P1" s="146"/>
      <c r="Z1" s="38"/>
      <c r="AA1" s="1"/>
      <c r="AB1" s="1"/>
      <c r="AC1" s="1"/>
      <c r="AD1" s="1"/>
    </row>
    <row r="2" spans="2:30" ht="32.25" customHeight="1">
      <c r="B2" s="101" t="e">
        <f>VLOOKUP($A2,'County Totals'!$A:$D,2,FALSE)</f>
        <v>#N/A</v>
      </c>
      <c r="C2" s="101" t="e">
        <f>VLOOKUP($A2,'County Totals'!$A:$D,3,FALSE)</f>
        <v>#N/A</v>
      </c>
      <c r="D2" s="101" t="e">
        <f>VLOOKUP($A2,'County Totals'!$A:$D,4,FALSE)</f>
        <v>#N/A</v>
      </c>
      <c r="E2" s="146" t="s">
        <v>123</v>
      </c>
      <c r="F2" s="146"/>
      <c r="G2" s="146"/>
      <c r="H2" s="146"/>
      <c r="I2" s="146"/>
      <c r="J2" s="146"/>
      <c r="K2" s="146" t="s">
        <v>156</v>
      </c>
      <c r="L2" s="146"/>
      <c r="M2" s="146"/>
      <c r="N2" s="146"/>
      <c r="O2" s="146"/>
      <c r="P2" s="146"/>
      <c r="Z2" s="38"/>
      <c r="AA2" s="1"/>
      <c r="AB2" s="1"/>
      <c r="AC2" s="1"/>
      <c r="AD2" s="1"/>
    </row>
    <row r="3" spans="1:30" ht="105">
      <c r="A3" s="5" t="s">
        <v>88</v>
      </c>
      <c r="B3" s="5" t="s">
        <v>175</v>
      </c>
      <c r="C3" s="5" t="s">
        <v>90</v>
      </c>
      <c r="D3" s="5" t="s">
        <v>89</v>
      </c>
      <c r="E3" s="6" t="s">
        <v>93</v>
      </c>
      <c r="F3" s="6" t="s">
        <v>94</v>
      </c>
      <c r="G3" s="6" t="s">
        <v>92</v>
      </c>
      <c r="H3" s="5" t="s">
        <v>91</v>
      </c>
      <c r="I3" s="5" t="s">
        <v>115</v>
      </c>
      <c r="J3" s="5" t="s">
        <v>154</v>
      </c>
      <c r="K3" s="6" t="s">
        <v>93</v>
      </c>
      <c r="L3" s="6" t="s">
        <v>94</v>
      </c>
      <c r="M3" s="6" t="s">
        <v>92</v>
      </c>
      <c r="N3" s="5" t="s">
        <v>91</v>
      </c>
      <c r="O3" s="5" t="s">
        <v>115</v>
      </c>
      <c r="P3" s="5" t="s">
        <v>154</v>
      </c>
      <c r="Z3" s="38"/>
      <c r="AA3" s="1"/>
      <c r="AB3" s="1"/>
      <c r="AC3" s="1"/>
      <c r="AD3" s="1"/>
    </row>
    <row r="4" spans="1:30" ht="15">
      <c r="A4" t="s">
        <v>0</v>
      </c>
      <c r="B4" s="2">
        <f>VLOOKUP($A4,'County Totals'!$A:$D,2,FALSE)</f>
        <v>377.30399999999906</v>
      </c>
      <c r="C4" s="2">
        <f>VLOOKUP($A4,'County Totals'!$A:$D,3,FALSE)</f>
        <v>608.1891900729158</v>
      </c>
      <c r="D4" s="2">
        <f>VLOOKUP($A4,'County Totals'!$A:$D,4,FALSE)</f>
        <v>223203</v>
      </c>
      <c r="E4" s="4">
        <v>5</v>
      </c>
      <c r="F4" s="4">
        <v>114</v>
      </c>
      <c r="G4" s="4">
        <v>291</v>
      </c>
      <c r="H4" s="3">
        <f aca="true" t="shared" si="0" ref="H4:H35">G4*1000000/(5*365*$B4*$D4/$B4)</f>
        <v>0.7143813245992238</v>
      </c>
      <c r="I4" s="32">
        <f>SUM(E4:F4)/SUM('County Totals'!$E3:$F3)</f>
        <v>0.7531645569620253</v>
      </c>
      <c r="J4">
        <f aca="true" t="shared" si="1" ref="J4:J35">_xlfn.RANK.AVG(H4,H$1:H$65536,1)</f>
        <v>57</v>
      </c>
      <c r="K4" s="4">
        <v>0</v>
      </c>
      <c r="L4" s="4">
        <v>7</v>
      </c>
      <c r="M4" s="4">
        <v>25</v>
      </c>
      <c r="N4" s="3">
        <f aca="true" t="shared" si="2" ref="N4:N35">M4*1000000/(5*365*$B4*$D4/$B4)</f>
        <v>0.06137296603086115</v>
      </c>
      <c r="O4" s="32">
        <f>SUM(K4:L4)/SUM('County Totals'!$E3:$F3)</f>
        <v>0.04430379746835443</v>
      </c>
      <c r="P4">
        <f aca="true" t="shared" si="3" ref="P4:P35">_xlfn.RANK.AVG(N4,N$1:N$65536,1)</f>
        <v>56</v>
      </c>
      <c r="Q4" s="1"/>
      <c r="R4" s="1"/>
      <c r="Y4" s="38"/>
      <c r="Z4" s="38"/>
      <c r="AA4" s="1"/>
      <c r="AB4" s="1"/>
      <c r="AC4" s="1"/>
      <c r="AD4" s="1"/>
    </row>
    <row r="5" spans="1:30" ht="15">
      <c r="A5" t="s">
        <v>1</v>
      </c>
      <c r="B5" s="2">
        <f>VLOOKUP($A5,'County Totals'!$A:$D,2,FALSE)</f>
        <v>359.6099999999995</v>
      </c>
      <c r="C5" s="2">
        <f>VLOOKUP($A5,'County Totals'!$A:$D,3,FALSE)</f>
        <v>5407.204861111106</v>
      </c>
      <c r="D5" s="2">
        <f>VLOOKUP($A5,'County Totals'!$A:$D,4,FALSE)</f>
        <v>1868730</v>
      </c>
      <c r="E5" s="4">
        <v>5</v>
      </c>
      <c r="F5" s="4">
        <v>177</v>
      </c>
      <c r="G5" s="4">
        <v>536</v>
      </c>
      <c r="H5" s="3">
        <f t="shared" si="0"/>
        <v>0.15716482859320838</v>
      </c>
      <c r="I5" s="32">
        <f>SUM(E5:F5)/SUM('County Totals'!$E4:$F4)</f>
        <v>0.3143350604490501</v>
      </c>
      <c r="J5">
        <f t="shared" si="1"/>
        <v>2</v>
      </c>
      <c r="K5" s="4">
        <v>0</v>
      </c>
      <c r="L5" s="4">
        <v>14</v>
      </c>
      <c r="M5" s="4">
        <v>35</v>
      </c>
      <c r="N5" s="3">
        <f t="shared" si="2"/>
        <v>0.010262628732765473</v>
      </c>
      <c r="O5" s="32">
        <f>SUM(K5:L5)/SUM('County Totals'!$E4:$F4)</f>
        <v>0.024179620034542316</v>
      </c>
      <c r="P5">
        <f t="shared" si="3"/>
        <v>5</v>
      </c>
      <c r="Q5" s="1"/>
      <c r="R5" s="1"/>
      <c r="Y5" s="38"/>
      <c r="Z5" s="38"/>
      <c r="AA5" s="1"/>
      <c r="AB5" s="1"/>
      <c r="AC5" s="1"/>
      <c r="AD5" s="1"/>
    </row>
    <row r="6" spans="1:30" ht="15">
      <c r="A6" t="s">
        <v>2</v>
      </c>
      <c r="B6" s="2">
        <f>VLOOKUP($A6,'County Totals'!$A:$D,2,FALSE)</f>
        <v>288.3299999999999</v>
      </c>
      <c r="C6" s="2">
        <f>VLOOKUP($A6,'County Totals'!$A:$D,3,FALSE)</f>
        <v>926.2897544709402</v>
      </c>
      <c r="D6" s="2">
        <f>VLOOKUP($A6,'County Totals'!$A:$D,4,FALSE)</f>
        <v>251672</v>
      </c>
      <c r="E6" s="4">
        <v>1</v>
      </c>
      <c r="F6" s="4">
        <v>123</v>
      </c>
      <c r="G6" s="4">
        <v>315</v>
      </c>
      <c r="H6" s="3">
        <f t="shared" si="0"/>
        <v>0.6858241668760426</v>
      </c>
      <c r="I6" s="32">
        <f>SUM(E6:F6)/SUM('County Totals'!$E5:$F5)</f>
        <v>0.6813186813186813</v>
      </c>
      <c r="J6">
        <f t="shared" si="1"/>
        <v>52</v>
      </c>
      <c r="K6" s="4">
        <v>0</v>
      </c>
      <c r="L6" s="4">
        <v>6</v>
      </c>
      <c r="M6" s="4">
        <v>25</v>
      </c>
      <c r="N6" s="3">
        <f t="shared" si="2"/>
        <v>0.05443048943460656</v>
      </c>
      <c r="O6" s="32">
        <f>SUM(K6:L6)/SUM('County Totals'!$E5:$F5)</f>
        <v>0.03296703296703297</v>
      </c>
      <c r="P6">
        <f t="shared" si="3"/>
        <v>51</v>
      </c>
      <c r="Q6" s="1"/>
      <c r="R6" s="1"/>
      <c r="Y6" s="38"/>
      <c r="Z6" s="38"/>
      <c r="AA6" s="1"/>
      <c r="AB6" s="1"/>
      <c r="AC6" s="1"/>
      <c r="AD6" s="1"/>
    </row>
    <row r="7" spans="1:30" ht="15">
      <c r="A7" t="s">
        <v>3</v>
      </c>
      <c r="B7" s="2">
        <f>VLOOKUP($A7,'County Totals'!$A:$D,2,FALSE)</f>
        <v>361.53999999999985</v>
      </c>
      <c r="C7" s="2">
        <f>VLOOKUP($A7,'County Totals'!$A:$D,3,FALSE)</f>
        <v>455.3112172361901</v>
      </c>
      <c r="D7" s="2">
        <f>VLOOKUP($A7,'County Totals'!$A:$D,4,FALSE)</f>
        <v>153403</v>
      </c>
      <c r="E7" s="4">
        <v>9</v>
      </c>
      <c r="F7" s="4">
        <v>216</v>
      </c>
      <c r="G7" s="4">
        <v>548</v>
      </c>
      <c r="H7" s="3">
        <f t="shared" si="0"/>
        <v>1.9574191678307442</v>
      </c>
      <c r="I7" s="32">
        <f>SUM(E7:F7)/SUM('County Totals'!$E6:$F6)</f>
        <v>0.6181318681318682</v>
      </c>
      <c r="J7">
        <f t="shared" si="1"/>
        <v>84</v>
      </c>
      <c r="K7" s="4">
        <v>0</v>
      </c>
      <c r="L7" s="4">
        <v>12</v>
      </c>
      <c r="M7" s="4">
        <v>45</v>
      </c>
      <c r="N7" s="3">
        <f t="shared" si="2"/>
        <v>0.16073697546055382</v>
      </c>
      <c r="O7" s="32">
        <f>SUM(K7:L7)/SUM('County Totals'!$E6:$F6)</f>
        <v>0.03296703296703297</v>
      </c>
      <c r="P7">
        <f t="shared" si="3"/>
        <v>81</v>
      </c>
      <c r="Q7" s="1"/>
      <c r="R7" s="1"/>
      <c r="Y7" s="38"/>
      <c r="Z7" s="38"/>
      <c r="AA7" s="1"/>
      <c r="AB7" s="1"/>
      <c r="AC7" s="1"/>
      <c r="AD7" s="1"/>
    </row>
    <row r="8" spans="1:30" ht="15">
      <c r="A8" t="s">
        <v>4</v>
      </c>
      <c r="B8" s="2">
        <f>VLOOKUP($A8,'County Totals'!$A:$D,2,FALSE)</f>
        <v>373.2369999999999</v>
      </c>
      <c r="C8" s="2">
        <f>VLOOKUP($A8,'County Totals'!$A:$D,3,FALSE)</f>
        <v>577.4467476769123</v>
      </c>
      <c r="D8" s="2">
        <f>VLOOKUP($A8,'County Totals'!$A:$D,4,FALSE)</f>
        <v>201962</v>
      </c>
      <c r="E8" s="4">
        <v>2</v>
      </c>
      <c r="F8" s="4">
        <v>170</v>
      </c>
      <c r="G8" s="4">
        <v>438</v>
      </c>
      <c r="H8" s="3">
        <f t="shared" si="0"/>
        <v>1.1883423614343291</v>
      </c>
      <c r="I8" s="32">
        <f>SUM(E8:F8)/SUM('County Totals'!$E7:$F7)</f>
        <v>0.7196652719665272</v>
      </c>
      <c r="J8">
        <f t="shared" si="1"/>
        <v>69</v>
      </c>
      <c r="K8" s="4">
        <v>0</v>
      </c>
      <c r="L8" s="4">
        <v>16</v>
      </c>
      <c r="M8" s="4">
        <v>50</v>
      </c>
      <c r="N8" s="3">
        <f t="shared" si="2"/>
        <v>0.1356555207116814</v>
      </c>
      <c r="O8" s="32">
        <f>SUM(K8:L8)/SUM('County Totals'!$E7:$F7)</f>
        <v>0.06694560669456066</v>
      </c>
      <c r="P8">
        <f t="shared" si="3"/>
        <v>75</v>
      </c>
      <c r="Q8" s="1"/>
      <c r="R8" s="1"/>
      <c r="Y8" s="38"/>
      <c r="Z8" s="38"/>
      <c r="AA8" s="1"/>
      <c r="AB8" s="1"/>
      <c r="AC8" s="1"/>
      <c r="AD8" s="1"/>
    </row>
    <row r="9" spans="1:30" ht="15">
      <c r="A9" t="s">
        <v>5</v>
      </c>
      <c r="B9" s="2">
        <f>VLOOKUP($A9,'County Totals'!$A:$D,2,FALSE)</f>
        <v>380.6559999999998</v>
      </c>
      <c r="C9" s="2">
        <f>VLOOKUP($A9,'County Totals'!$A:$D,3,FALSE)</f>
        <v>727.3612405853719</v>
      </c>
      <c r="D9" s="2">
        <f>VLOOKUP($A9,'County Totals'!$A:$D,4,FALSE)</f>
        <v>245779</v>
      </c>
      <c r="E9" s="4">
        <v>2</v>
      </c>
      <c r="F9" s="4">
        <v>99</v>
      </c>
      <c r="G9" s="4">
        <v>191</v>
      </c>
      <c r="H9" s="3">
        <f t="shared" si="0"/>
        <v>0.4258196764026843</v>
      </c>
      <c r="I9" s="32">
        <f>SUM(E9:F9)/SUM('County Totals'!$E8:$F8)</f>
        <v>0.6516129032258065</v>
      </c>
      <c r="J9">
        <f t="shared" si="1"/>
        <v>32</v>
      </c>
      <c r="K9" s="4">
        <v>1</v>
      </c>
      <c r="L9" s="4">
        <v>6</v>
      </c>
      <c r="M9" s="4">
        <v>17</v>
      </c>
      <c r="N9" s="3">
        <f t="shared" si="2"/>
        <v>0.03790018062222845</v>
      </c>
      <c r="O9" s="32">
        <f>SUM(K9:L9)/SUM('County Totals'!$E8:$F8)</f>
        <v>0.04516129032258064</v>
      </c>
      <c r="P9">
        <f t="shared" si="3"/>
        <v>38</v>
      </c>
      <c r="Q9" s="1"/>
      <c r="R9" s="1"/>
      <c r="Y9" s="38"/>
      <c r="Z9" s="38"/>
      <c r="AA9" s="1"/>
      <c r="AB9" s="1"/>
      <c r="AC9" s="1"/>
      <c r="AD9" s="1"/>
    </row>
    <row r="10" spans="1:30" ht="15">
      <c r="A10" t="s">
        <v>6</v>
      </c>
      <c r="B10" s="2">
        <f>VLOOKUP($A10,'County Totals'!$A:$D,2,FALSE)</f>
        <v>312.1900000000003</v>
      </c>
      <c r="C10" s="2">
        <f>VLOOKUP($A10,'County Totals'!$A:$D,3,FALSE)</f>
        <v>971.4884840151246</v>
      </c>
      <c r="D10" s="2">
        <f>VLOOKUP($A10,'County Totals'!$A:$D,4,FALSE)</f>
        <v>282606</v>
      </c>
      <c r="E10" s="4">
        <v>6</v>
      </c>
      <c r="F10" s="4">
        <v>193</v>
      </c>
      <c r="G10" s="4">
        <v>573</v>
      </c>
      <c r="H10" s="3">
        <f t="shared" si="0"/>
        <v>1.1109905760660639</v>
      </c>
      <c r="I10" s="32">
        <f>SUM(E10:F10)/SUM('County Totals'!$E9:$F9)</f>
        <v>0.6982456140350877</v>
      </c>
      <c r="J10">
        <f t="shared" si="1"/>
        <v>68</v>
      </c>
      <c r="K10" s="4">
        <v>0</v>
      </c>
      <c r="L10" s="4">
        <v>26</v>
      </c>
      <c r="M10" s="4">
        <v>71</v>
      </c>
      <c r="N10" s="3">
        <f t="shared" si="2"/>
        <v>0.13766200855268856</v>
      </c>
      <c r="O10" s="32">
        <f>SUM(K10:L10)/SUM('County Totals'!$E9:$F9)</f>
        <v>0.0912280701754386</v>
      </c>
      <c r="P10">
        <f t="shared" si="3"/>
        <v>76</v>
      </c>
      <c r="Q10" s="1"/>
      <c r="R10" s="1"/>
      <c r="Y10" s="38"/>
      <c r="Z10" s="38"/>
      <c r="AA10" s="1"/>
      <c r="AB10" s="1"/>
      <c r="AC10" s="1"/>
      <c r="AD10" s="1"/>
    </row>
    <row r="11" spans="1:30" ht="15">
      <c r="A11" t="s">
        <v>7</v>
      </c>
      <c r="B11" s="2">
        <f>VLOOKUP($A11,'County Totals'!$A:$D,2,FALSE)</f>
        <v>338.9509999999999</v>
      </c>
      <c r="C11" s="2">
        <f>VLOOKUP($A11,'County Totals'!$A:$D,3,FALSE)</f>
        <v>1099.2955731307122</v>
      </c>
      <c r="D11" s="2">
        <f>VLOOKUP($A11,'County Totals'!$A:$D,4,FALSE)</f>
        <v>361112</v>
      </c>
      <c r="E11" s="4">
        <v>2</v>
      </c>
      <c r="F11" s="4">
        <v>170</v>
      </c>
      <c r="G11" s="4">
        <v>432</v>
      </c>
      <c r="H11" s="3">
        <f t="shared" si="0"/>
        <v>0.6555094507164627</v>
      </c>
      <c r="I11" s="32">
        <f>SUM(E11:F11)/SUM('County Totals'!$E10:$F10)</f>
        <v>0.5771812080536913</v>
      </c>
      <c r="J11">
        <f t="shared" si="1"/>
        <v>51</v>
      </c>
      <c r="K11" s="4">
        <v>0</v>
      </c>
      <c r="L11" s="4">
        <v>10</v>
      </c>
      <c r="M11" s="4">
        <v>33</v>
      </c>
      <c r="N11" s="3">
        <f t="shared" si="2"/>
        <v>0.05007363859639646</v>
      </c>
      <c r="O11" s="32">
        <f>SUM(K11:L11)/SUM('County Totals'!$E10:$F10)</f>
        <v>0.03355704697986577</v>
      </c>
      <c r="P11">
        <f t="shared" si="3"/>
        <v>50</v>
      </c>
      <c r="Q11" s="1"/>
      <c r="R11" s="1"/>
      <c r="Y11" s="38"/>
      <c r="Z11" s="38"/>
      <c r="AA11" s="1"/>
      <c r="AB11" s="1"/>
      <c r="AC11" s="1"/>
      <c r="AD11" s="1"/>
    </row>
    <row r="12" spans="1:30" ht="15">
      <c r="A12" t="s">
        <v>8</v>
      </c>
      <c r="B12" s="2">
        <f>VLOOKUP($A12,'County Totals'!$A:$D,2,FALSE)</f>
        <v>272.3199999999999</v>
      </c>
      <c r="C12" s="2">
        <f>VLOOKUP($A12,'County Totals'!$A:$D,3,FALSE)</f>
        <v>9815.053547388938</v>
      </c>
      <c r="D12" s="2">
        <f>VLOOKUP($A12,'County Totals'!$A:$D,4,FALSE)</f>
        <v>2442427</v>
      </c>
      <c r="E12" s="4">
        <v>14</v>
      </c>
      <c r="F12" s="4">
        <v>403</v>
      </c>
      <c r="G12" s="4">
        <v>1109</v>
      </c>
      <c r="H12" s="3">
        <f t="shared" si="0"/>
        <v>0.24879811469358648</v>
      </c>
      <c r="I12" s="32">
        <f>SUM(E12:F12)/SUM('County Totals'!$E11:$F11)</f>
        <v>0.3100371747211896</v>
      </c>
      <c r="J12">
        <f t="shared" si="1"/>
        <v>16</v>
      </c>
      <c r="K12" s="4">
        <v>1</v>
      </c>
      <c r="L12" s="4">
        <v>27</v>
      </c>
      <c r="M12" s="4">
        <v>91</v>
      </c>
      <c r="N12" s="3">
        <f t="shared" si="2"/>
        <v>0.020415354767462913</v>
      </c>
      <c r="O12" s="32">
        <f>SUM(K12:L12)/SUM('County Totals'!$E11:$F11)</f>
        <v>0.020817843866171002</v>
      </c>
      <c r="P12">
        <f t="shared" si="3"/>
        <v>22</v>
      </c>
      <c r="Q12" s="1"/>
      <c r="R12" s="1"/>
      <c r="Y12" s="38"/>
      <c r="Z12" s="38"/>
      <c r="AA12" s="1"/>
      <c r="AB12" s="1"/>
      <c r="AC12" s="1"/>
      <c r="AD12" s="1"/>
    </row>
    <row r="13" spans="1:30" ht="15">
      <c r="A13" t="s">
        <v>9</v>
      </c>
      <c r="B13" s="2">
        <f>VLOOKUP($A13,'County Totals'!$A:$D,2,FALSE)</f>
        <v>331.13999999999993</v>
      </c>
      <c r="C13" s="2">
        <f>VLOOKUP($A13,'County Totals'!$A:$D,3,FALSE)</f>
        <v>307.4579551521623</v>
      </c>
      <c r="D13" s="2">
        <f>VLOOKUP($A13,'County Totals'!$A:$D,4,FALSE)</f>
        <v>92139</v>
      </c>
      <c r="E13" s="4">
        <v>2</v>
      </c>
      <c r="F13" s="4">
        <v>85</v>
      </c>
      <c r="G13" s="4">
        <v>275</v>
      </c>
      <c r="H13" s="3">
        <f t="shared" si="0"/>
        <v>1.63540880090786</v>
      </c>
      <c r="I13" s="32">
        <f>SUM(E13:F13)/SUM('County Totals'!$E12:$F12)</f>
        <v>0.696</v>
      </c>
      <c r="J13">
        <f t="shared" si="1"/>
        <v>77</v>
      </c>
      <c r="K13" s="4">
        <v>0</v>
      </c>
      <c r="L13" s="4">
        <v>5</v>
      </c>
      <c r="M13" s="4">
        <v>17</v>
      </c>
      <c r="N13" s="3">
        <f t="shared" si="2"/>
        <v>0.1010979986015768</v>
      </c>
      <c r="O13" s="32">
        <f>SUM(K13:L13)/SUM('County Totals'!$E12:$F12)</f>
        <v>0.04</v>
      </c>
      <c r="P13">
        <f t="shared" si="3"/>
        <v>70</v>
      </c>
      <c r="Q13" s="1"/>
      <c r="R13" s="1"/>
      <c r="Y13" s="38"/>
      <c r="Z13" s="38"/>
      <c r="AA13" s="1"/>
      <c r="AB13" s="1"/>
      <c r="AC13" s="1"/>
      <c r="AD13" s="1"/>
    </row>
    <row r="14" spans="1:30" ht="15">
      <c r="A14" t="s">
        <v>10</v>
      </c>
      <c r="B14" s="2">
        <f>VLOOKUP($A14,'County Totals'!$A:$D,2,FALSE)</f>
        <v>250.74500000000012</v>
      </c>
      <c r="C14" s="2">
        <f>VLOOKUP($A14,'County Totals'!$A:$D,3,FALSE)</f>
        <v>886.110254263429</v>
      </c>
      <c r="D14" s="2">
        <f>VLOOKUP($A14,'County Totals'!$A:$D,4,FALSE)</f>
        <v>201085</v>
      </c>
      <c r="E14" s="4">
        <v>3</v>
      </c>
      <c r="F14" s="4">
        <v>72</v>
      </c>
      <c r="G14" s="4">
        <v>219</v>
      </c>
      <c r="H14" s="3">
        <f t="shared" si="0"/>
        <v>0.5967625630952085</v>
      </c>
      <c r="I14" s="32">
        <f>SUM(E14:F14)/SUM('County Totals'!$E13:$F13)</f>
        <v>0.5813953488372093</v>
      </c>
      <c r="J14">
        <f t="shared" si="1"/>
        <v>48</v>
      </c>
      <c r="K14" s="4">
        <v>1</v>
      </c>
      <c r="L14" s="4">
        <v>2</v>
      </c>
      <c r="M14" s="4">
        <v>7</v>
      </c>
      <c r="N14" s="3">
        <f t="shared" si="2"/>
        <v>0.019074602473362828</v>
      </c>
      <c r="O14" s="32">
        <f>SUM(K14:L14)/SUM('County Totals'!$E13:$F13)</f>
        <v>0.023255813953488372</v>
      </c>
      <c r="P14">
        <f t="shared" si="3"/>
        <v>20</v>
      </c>
      <c r="Q14" s="1"/>
      <c r="R14" s="1"/>
      <c r="Y14" s="38"/>
      <c r="Z14" s="38"/>
      <c r="AA14" s="1"/>
      <c r="AB14" s="1"/>
      <c r="AC14" s="1"/>
      <c r="AD14" s="1"/>
    </row>
    <row r="15" spans="1:30" ht="15">
      <c r="A15" t="s">
        <v>11</v>
      </c>
      <c r="B15" s="2">
        <f>VLOOKUP($A15,'County Totals'!$A:$D,2,FALSE)</f>
        <v>310.8709999999994</v>
      </c>
      <c r="C15" s="2">
        <f>VLOOKUP($A15,'County Totals'!$A:$D,3,FALSE)</f>
        <v>6962.082705554087</v>
      </c>
      <c r="D15" s="2">
        <f>VLOOKUP($A15,'County Totals'!$A:$D,4,FALSE)</f>
        <v>2028549</v>
      </c>
      <c r="E15" s="4">
        <v>13</v>
      </c>
      <c r="F15" s="4">
        <v>230</v>
      </c>
      <c r="G15" s="4">
        <v>672</v>
      </c>
      <c r="H15" s="3">
        <f t="shared" si="0"/>
        <v>0.18151850316762957</v>
      </c>
      <c r="I15" s="32">
        <f>SUM(E15:F15)/SUM('County Totals'!$E14:$F14)</f>
        <v>0.4293286219081272</v>
      </c>
      <c r="J15">
        <f t="shared" si="1"/>
        <v>3</v>
      </c>
      <c r="K15" s="4">
        <v>1</v>
      </c>
      <c r="L15" s="4">
        <v>22</v>
      </c>
      <c r="M15" s="4">
        <v>75</v>
      </c>
      <c r="N15" s="3">
        <f t="shared" si="2"/>
        <v>0.02025876151424437</v>
      </c>
      <c r="O15" s="32">
        <f>SUM(K15:L15)/SUM('County Totals'!$E14:$F14)</f>
        <v>0.04063604240282685</v>
      </c>
      <c r="P15">
        <f t="shared" si="3"/>
        <v>21</v>
      </c>
      <c r="Q15" s="1"/>
      <c r="R15" s="1"/>
      <c r="Y15" s="38"/>
      <c r="Z15" s="38"/>
      <c r="AA15" s="1"/>
      <c r="AB15" s="1"/>
      <c r="AC15" s="1"/>
      <c r="AD15" s="1"/>
    </row>
    <row r="16" spans="1:30" ht="15">
      <c r="A16" t="s">
        <v>12</v>
      </c>
      <c r="B16" s="2">
        <f>VLOOKUP($A16,'County Totals'!$A:$D,2,FALSE)</f>
        <v>384.63</v>
      </c>
      <c r="C16" s="2">
        <f>VLOOKUP($A16,'County Totals'!$A:$D,3,FALSE)</f>
        <v>4332.061894563976</v>
      </c>
      <c r="D16" s="2">
        <f>VLOOKUP($A16,'County Totals'!$A:$D,4,FALSE)</f>
        <v>1561639</v>
      </c>
      <c r="E16" s="4">
        <v>17</v>
      </c>
      <c r="F16" s="4">
        <v>656</v>
      </c>
      <c r="G16" s="4">
        <v>2001</v>
      </c>
      <c r="H16" s="3">
        <f t="shared" si="0"/>
        <v>0.7021074372274153</v>
      </c>
      <c r="I16" s="32">
        <f>SUM(E16:F16)/SUM('County Totals'!$E15:$F15)</f>
        <v>0.3979893554109994</v>
      </c>
      <c r="J16">
        <f t="shared" si="1"/>
        <v>53</v>
      </c>
      <c r="K16" s="4">
        <v>2</v>
      </c>
      <c r="L16" s="4">
        <v>75</v>
      </c>
      <c r="M16" s="4">
        <v>259</v>
      </c>
      <c r="N16" s="3">
        <f t="shared" si="2"/>
        <v>0.0908774743837584</v>
      </c>
      <c r="O16" s="32">
        <f>SUM(K16:L16)/SUM('County Totals'!$E15:$F15)</f>
        <v>0.04553518628030751</v>
      </c>
      <c r="P16">
        <f t="shared" si="3"/>
        <v>66</v>
      </c>
      <c r="Q16" s="1"/>
      <c r="R16" s="1"/>
      <c r="Y16" s="38"/>
      <c r="Z16" s="38"/>
      <c r="AA16" s="1"/>
      <c r="AB16" s="1"/>
      <c r="AC16" s="1"/>
      <c r="AD16" s="1"/>
    </row>
    <row r="17" spans="1:30" ht="15">
      <c r="A17" t="s">
        <v>13</v>
      </c>
      <c r="B17" s="2">
        <f>VLOOKUP($A17,'County Totals'!$A:$D,2,FALSE)</f>
        <v>266.40000000000003</v>
      </c>
      <c r="C17" s="2">
        <f>VLOOKUP($A17,'County Totals'!$A:$D,3,FALSE)</f>
        <v>807.7225906474994</v>
      </c>
      <c r="D17" s="2">
        <f>VLOOKUP($A17,'County Totals'!$A:$D,4,FALSE)</f>
        <v>199018</v>
      </c>
      <c r="E17" s="4">
        <v>0</v>
      </c>
      <c r="F17" s="4">
        <v>110</v>
      </c>
      <c r="G17" s="4">
        <v>258</v>
      </c>
      <c r="H17" s="3">
        <f t="shared" si="0"/>
        <v>0.7103370700825987</v>
      </c>
      <c r="I17" s="32">
        <f>SUM(E17:F17)/SUM('County Totals'!$E16:$F16)</f>
        <v>0.7482993197278912</v>
      </c>
      <c r="J17">
        <f t="shared" si="1"/>
        <v>55</v>
      </c>
      <c r="K17" s="4">
        <v>0</v>
      </c>
      <c r="L17" s="4">
        <v>7</v>
      </c>
      <c r="M17" s="4">
        <v>26</v>
      </c>
      <c r="N17" s="3">
        <f t="shared" si="2"/>
        <v>0.07158435589979677</v>
      </c>
      <c r="O17" s="32">
        <f>SUM(K17:L17)/SUM('County Totals'!$E16:$F16)</f>
        <v>0.047619047619047616</v>
      </c>
      <c r="P17">
        <f t="shared" si="3"/>
        <v>59</v>
      </c>
      <c r="Q17" s="1"/>
      <c r="R17" s="1"/>
      <c r="Y17" s="38"/>
      <c r="Z17" s="38"/>
      <c r="AA17" s="1"/>
      <c r="AB17" s="1"/>
      <c r="AC17" s="1"/>
      <c r="AD17" s="1"/>
    </row>
    <row r="18" spans="1:30" ht="15">
      <c r="A18" t="s">
        <v>14</v>
      </c>
      <c r="B18" s="2">
        <f>VLOOKUP($A18,'County Totals'!$A:$D,2,FALSE)</f>
        <v>169.76000000000005</v>
      </c>
      <c r="C18" s="2">
        <f>VLOOKUP($A18,'County Totals'!$A:$D,3,FALSE)</f>
        <v>1741.909243697479</v>
      </c>
      <c r="D18" s="2">
        <f>VLOOKUP($A18,'County Totals'!$A:$D,4,FALSE)</f>
        <v>259109</v>
      </c>
      <c r="E18" s="4">
        <v>7</v>
      </c>
      <c r="F18" s="4">
        <v>179</v>
      </c>
      <c r="G18" s="4">
        <v>451</v>
      </c>
      <c r="H18" s="3">
        <f t="shared" si="0"/>
        <v>0.9537425858277131</v>
      </c>
      <c r="I18" s="32">
        <f>SUM(E18:F18)/SUM('County Totals'!$E17:$F17)</f>
        <v>0.543859649122807</v>
      </c>
      <c r="J18">
        <f t="shared" si="1"/>
        <v>64</v>
      </c>
      <c r="K18" s="4">
        <v>1</v>
      </c>
      <c r="L18" s="4">
        <v>21</v>
      </c>
      <c r="M18" s="4">
        <v>73</v>
      </c>
      <c r="N18" s="3">
        <f t="shared" si="2"/>
        <v>0.15437518573264536</v>
      </c>
      <c r="O18" s="32">
        <f>SUM(K18:L18)/SUM('County Totals'!$E17:$F17)</f>
        <v>0.06432748538011696</v>
      </c>
      <c r="P18">
        <f t="shared" si="3"/>
        <v>80</v>
      </c>
      <c r="Q18" s="1"/>
      <c r="R18" s="1"/>
      <c r="Y18" s="38"/>
      <c r="Z18" s="38"/>
      <c r="AA18" s="1"/>
      <c r="AB18" s="1"/>
      <c r="AC18" s="1"/>
      <c r="AD18" s="1"/>
    </row>
    <row r="19" spans="1:30" ht="15">
      <c r="A19" t="s">
        <v>15</v>
      </c>
      <c r="B19" s="2">
        <f>VLOOKUP($A19,'County Totals'!$A:$D,2,FALSE)</f>
        <v>360.34999999999985</v>
      </c>
      <c r="C19" s="2">
        <f>VLOOKUP($A19,'County Totals'!$A:$D,3,FALSE)</f>
        <v>490.6959159373184</v>
      </c>
      <c r="D19" s="2">
        <f>VLOOKUP($A19,'County Totals'!$A:$D,4,FALSE)</f>
        <v>169374</v>
      </c>
      <c r="E19" s="4">
        <v>8</v>
      </c>
      <c r="F19" s="4">
        <v>74</v>
      </c>
      <c r="G19" s="4">
        <v>224</v>
      </c>
      <c r="H19" s="3">
        <f t="shared" si="0"/>
        <v>0.7246668675676152</v>
      </c>
      <c r="I19" s="32">
        <f>SUM(E19:F19)/SUM('County Totals'!$E18:$F18)</f>
        <v>0.6612903225806451</v>
      </c>
      <c r="J19">
        <f t="shared" si="1"/>
        <v>58</v>
      </c>
      <c r="K19" s="4">
        <v>2</v>
      </c>
      <c r="L19" s="4">
        <v>4</v>
      </c>
      <c r="M19" s="4">
        <v>22</v>
      </c>
      <c r="N19" s="3">
        <f t="shared" si="2"/>
        <v>0.07117263877896221</v>
      </c>
      <c r="O19" s="32">
        <f>SUM(K19:L19)/SUM('County Totals'!$E18:$F18)</f>
        <v>0.04838709677419355</v>
      </c>
      <c r="P19">
        <f t="shared" si="3"/>
        <v>58</v>
      </c>
      <c r="Q19" s="1"/>
      <c r="R19" s="1"/>
      <c r="Y19" s="38"/>
      <c r="Z19" s="38"/>
      <c r="AA19" s="1"/>
      <c r="AB19" s="1"/>
      <c r="AC19" s="1"/>
      <c r="AD19" s="1"/>
    </row>
    <row r="20" spans="1:30" ht="15">
      <c r="A20" t="s">
        <v>16</v>
      </c>
      <c r="B20" s="2">
        <f>VLOOKUP($A20,'County Totals'!$A:$D,2,FALSE)</f>
        <v>251.70600000000002</v>
      </c>
      <c r="C20" s="2">
        <f>VLOOKUP($A20,'County Totals'!$A:$D,3,FALSE)</f>
        <v>1628.1272750631672</v>
      </c>
      <c r="D20" s="2">
        <f>VLOOKUP($A20,'County Totals'!$A:$D,4,FALSE)</f>
        <v>380184</v>
      </c>
      <c r="E20" s="4">
        <v>2</v>
      </c>
      <c r="F20" s="4">
        <v>77</v>
      </c>
      <c r="G20" s="4">
        <v>235</v>
      </c>
      <c r="H20" s="3">
        <f t="shared" si="0"/>
        <v>0.3386968501769439</v>
      </c>
      <c r="I20" s="32">
        <f>SUM(E20:F20)/SUM('County Totals'!$E19:$F19)</f>
        <v>0.6583333333333333</v>
      </c>
      <c r="J20">
        <f t="shared" si="1"/>
        <v>21</v>
      </c>
      <c r="K20" s="4">
        <v>0</v>
      </c>
      <c r="L20" s="4">
        <v>1</v>
      </c>
      <c r="M20" s="4">
        <v>10</v>
      </c>
      <c r="N20" s="3">
        <f t="shared" si="2"/>
        <v>0.014412631922423143</v>
      </c>
      <c r="O20" s="32">
        <f>SUM(K20:L20)/SUM('County Totals'!$E19:$F19)</f>
        <v>0.008333333333333333</v>
      </c>
      <c r="P20">
        <f t="shared" si="3"/>
        <v>12</v>
      </c>
      <c r="Q20" s="1"/>
      <c r="R20" s="1"/>
      <c r="Y20" s="38"/>
      <c r="Z20" s="38"/>
      <c r="AA20" s="1"/>
      <c r="AB20" s="1"/>
      <c r="AC20" s="1"/>
      <c r="AD20" s="1"/>
    </row>
    <row r="21" spans="1:30" ht="15">
      <c r="A21" t="s">
        <v>17</v>
      </c>
      <c r="B21" s="2">
        <f>VLOOKUP($A21,'County Totals'!$A:$D,2,FALSE)</f>
        <v>24.26</v>
      </c>
      <c r="C21" s="2">
        <f>VLOOKUP($A21,'County Totals'!$A:$D,3,FALSE)</f>
        <v>9688.808426596446</v>
      </c>
      <c r="D21" s="2">
        <f>VLOOKUP($A21,'County Totals'!$A:$D,4,FALSE)</f>
        <v>147173</v>
      </c>
      <c r="E21" s="4">
        <v>0</v>
      </c>
      <c r="F21" s="4">
        <v>35</v>
      </c>
      <c r="G21" s="4">
        <v>101</v>
      </c>
      <c r="H21" s="3">
        <f t="shared" si="0"/>
        <v>0.37603681214234036</v>
      </c>
      <c r="I21" s="32">
        <f>SUM(E21:F21)/SUM('County Totals'!$E20:$F20)</f>
        <v>0.3153153153153153</v>
      </c>
      <c r="J21">
        <f t="shared" si="1"/>
        <v>24</v>
      </c>
      <c r="K21" s="4">
        <v>0</v>
      </c>
      <c r="L21" s="4">
        <v>1</v>
      </c>
      <c r="M21" s="4">
        <v>10</v>
      </c>
      <c r="N21" s="3">
        <f t="shared" si="2"/>
        <v>0.03723136753884558</v>
      </c>
      <c r="O21" s="32">
        <f>SUM(K21:L21)/SUM('County Totals'!$E20:$F20)</f>
        <v>0.009009009009009009</v>
      </c>
      <c r="P21">
        <f t="shared" si="3"/>
        <v>37</v>
      </c>
      <c r="Q21" s="1"/>
      <c r="R21" s="1"/>
      <c r="Y21" s="38"/>
      <c r="Z21" s="38"/>
      <c r="AA21" s="1"/>
      <c r="AB21" s="1"/>
      <c r="AC21" s="1"/>
      <c r="AD21" s="1"/>
    </row>
    <row r="22" spans="1:30" ht="15">
      <c r="A22" t="s">
        <v>18</v>
      </c>
      <c r="B22" s="2">
        <f>VLOOKUP($A22,'County Totals'!$A:$D,2,FALSE)</f>
        <v>579.3000000000002</v>
      </c>
      <c r="C22" s="2">
        <f>VLOOKUP($A22,'County Totals'!$A:$D,3,FALSE)</f>
        <v>358.73131535147445</v>
      </c>
      <c r="D22" s="2">
        <f>VLOOKUP($A22,'County Totals'!$A:$D,4,FALSE)</f>
        <v>180185</v>
      </c>
      <c r="E22" s="4">
        <v>7</v>
      </c>
      <c r="F22" s="4">
        <v>112</v>
      </c>
      <c r="G22" s="4">
        <v>392</v>
      </c>
      <c r="H22" s="3">
        <f t="shared" si="0"/>
        <v>1.1920777009625954</v>
      </c>
      <c r="I22" s="32">
        <f>SUM(E22:F22)/SUM('County Totals'!$E21:$F21)</f>
        <v>0.6040609137055838</v>
      </c>
      <c r="J22">
        <f t="shared" si="1"/>
        <v>70</v>
      </c>
      <c r="K22" s="4">
        <v>0</v>
      </c>
      <c r="L22" s="4">
        <v>5</v>
      </c>
      <c r="M22" s="4">
        <v>19</v>
      </c>
      <c r="N22" s="3">
        <f t="shared" si="2"/>
        <v>0.05777927632216661</v>
      </c>
      <c r="O22" s="32">
        <f>SUM(K22:L22)/SUM('County Totals'!$E21:$F21)</f>
        <v>0.025380710659898477</v>
      </c>
      <c r="P22">
        <f t="shared" si="3"/>
        <v>53</v>
      </c>
      <c r="Q22" s="1"/>
      <c r="R22" s="1"/>
      <c r="Y22" s="38"/>
      <c r="Z22" s="38"/>
      <c r="AA22" s="1"/>
      <c r="AB22" s="1"/>
      <c r="AC22" s="1"/>
      <c r="AD22" s="1"/>
    </row>
    <row r="23" spans="1:30" ht="15">
      <c r="A23" t="s">
        <v>19</v>
      </c>
      <c r="B23" s="2">
        <f>VLOOKUP($A23,'County Totals'!$A:$D,2,FALSE)</f>
        <v>342.11999999999983</v>
      </c>
      <c r="C23" s="2">
        <f>VLOOKUP($A23,'County Totals'!$A:$D,3,FALSE)</f>
        <v>826.9997843079481</v>
      </c>
      <c r="D23" s="2">
        <f>VLOOKUP($A23,'County Totals'!$A:$D,4,FALSE)</f>
        <v>272226</v>
      </c>
      <c r="E23" s="4">
        <v>3</v>
      </c>
      <c r="F23" s="4">
        <v>75</v>
      </c>
      <c r="G23" s="4">
        <v>198</v>
      </c>
      <c r="H23" s="3">
        <f t="shared" si="0"/>
        <v>0.3985407370527852</v>
      </c>
      <c r="I23" s="32">
        <f>SUM(E23:F23)/SUM('County Totals'!$E22:$F22)</f>
        <v>0.5064935064935064</v>
      </c>
      <c r="J23">
        <f t="shared" si="1"/>
        <v>29</v>
      </c>
      <c r="K23" s="4">
        <v>1</v>
      </c>
      <c r="L23" s="4">
        <v>3</v>
      </c>
      <c r="M23" s="4">
        <v>17</v>
      </c>
      <c r="N23" s="3">
        <f t="shared" si="2"/>
        <v>0.03421814409039065</v>
      </c>
      <c r="O23" s="32">
        <f>SUM(K23:L23)/SUM('County Totals'!$E22:$F22)</f>
        <v>0.025974025974025976</v>
      </c>
      <c r="P23">
        <f t="shared" si="3"/>
        <v>34</v>
      </c>
      <c r="Q23" s="1"/>
      <c r="R23" s="1"/>
      <c r="Y23" s="38"/>
      <c r="Z23" s="38"/>
      <c r="AA23" s="1"/>
      <c r="AB23" s="1"/>
      <c r="AC23" s="1"/>
      <c r="AD23" s="1"/>
    </row>
    <row r="24" spans="1:30" ht="15">
      <c r="A24" t="s">
        <v>20</v>
      </c>
      <c r="B24" s="2">
        <f>VLOOKUP($A24,'County Totals'!$A:$D,2,FALSE)</f>
        <v>341.84000000000003</v>
      </c>
      <c r="C24" s="2">
        <f>VLOOKUP($A24,'County Totals'!$A:$D,3,FALSE)</f>
        <v>3982.0600778787325</v>
      </c>
      <c r="D24" s="2">
        <f>VLOOKUP($A24,'County Totals'!$A:$D,4,FALSE)</f>
        <v>1288515</v>
      </c>
      <c r="E24" s="4">
        <v>6</v>
      </c>
      <c r="F24" s="4">
        <v>190</v>
      </c>
      <c r="G24" s="4">
        <v>535</v>
      </c>
      <c r="H24" s="3">
        <f t="shared" si="0"/>
        <v>0.227510494586021</v>
      </c>
      <c r="I24" s="32">
        <f>SUM(E24:F24)/SUM('County Totals'!$E23:$F23)</f>
        <v>0.30866141732283464</v>
      </c>
      <c r="J24">
        <f t="shared" si="1"/>
        <v>10</v>
      </c>
      <c r="K24" s="4">
        <v>2</v>
      </c>
      <c r="L24" s="4">
        <v>11</v>
      </c>
      <c r="M24" s="4">
        <v>38</v>
      </c>
      <c r="N24" s="3">
        <f t="shared" si="2"/>
        <v>0.016159623914521117</v>
      </c>
      <c r="O24" s="32">
        <f>SUM(K24:L24)/SUM('County Totals'!$E23:$F23)</f>
        <v>0.02047244094488189</v>
      </c>
      <c r="P24">
        <f t="shared" si="3"/>
        <v>15</v>
      </c>
      <c r="Q24" s="1"/>
      <c r="R24" s="1"/>
      <c r="Y24" s="38"/>
      <c r="Z24" s="38"/>
      <c r="AA24" s="1"/>
      <c r="AB24" s="1"/>
      <c r="AC24" s="1"/>
      <c r="AD24" s="1"/>
    </row>
    <row r="25" spans="1:30" ht="15">
      <c r="A25" t="s">
        <v>21</v>
      </c>
      <c r="B25" s="2">
        <f>VLOOKUP($A25,'County Totals'!$A:$D,2,FALSE)</f>
        <v>147.53999999999985</v>
      </c>
      <c r="C25" s="2">
        <f>VLOOKUP($A25,'County Totals'!$A:$D,3,FALSE)</f>
        <v>10688.910739020916</v>
      </c>
      <c r="D25" s="2">
        <f>VLOOKUP($A25,'County Totals'!$A:$D,4,FALSE)</f>
        <v>1489318</v>
      </c>
      <c r="E25" s="4">
        <v>5</v>
      </c>
      <c r="F25" s="4">
        <v>86</v>
      </c>
      <c r="G25" s="4">
        <v>279</v>
      </c>
      <c r="H25" s="3">
        <f t="shared" si="0"/>
        <v>0.10264880457280925</v>
      </c>
      <c r="I25" s="32">
        <f>SUM(E25:F25)/SUM('County Totals'!$E24:$F24)</f>
        <v>0.3170731707317073</v>
      </c>
      <c r="J25">
        <f t="shared" si="1"/>
        <v>1</v>
      </c>
      <c r="K25" s="4">
        <v>1</v>
      </c>
      <c r="L25" s="4">
        <v>7</v>
      </c>
      <c r="M25" s="4">
        <v>14</v>
      </c>
      <c r="N25" s="3">
        <f t="shared" si="2"/>
        <v>0.005150836071753869</v>
      </c>
      <c r="O25" s="32">
        <f>SUM(K25:L25)/SUM('County Totals'!$E24:$F24)</f>
        <v>0.027874564459930314</v>
      </c>
      <c r="P25">
        <f t="shared" si="3"/>
        <v>1</v>
      </c>
      <c r="Q25" s="1"/>
      <c r="R25" s="1"/>
      <c r="Y25" s="38"/>
      <c r="Z25" s="38"/>
      <c r="AA25" s="1"/>
      <c r="AB25" s="1"/>
      <c r="AC25" s="1"/>
      <c r="AD25" s="1"/>
    </row>
    <row r="26" spans="1:30" ht="15">
      <c r="A26" t="s">
        <v>22</v>
      </c>
      <c r="B26" s="2">
        <f>VLOOKUP($A26,'County Totals'!$A:$D,2,FALSE)</f>
        <v>371.2100000000001</v>
      </c>
      <c r="C26" s="2">
        <f>VLOOKUP($A26,'County Totals'!$A:$D,3,FALSE)</f>
        <v>1364.5100607806496</v>
      </c>
      <c r="D26" s="2">
        <f>VLOOKUP($A26,'County Totals'!$A:$D,4,FALSE)</f>
        <v>439566</v>
      </c>
      <c r="E26" s="4">
        <v>18</v>
      </c>
      <c r="F26" s="4">
        <v>298</v>
      </c>
      <c r="G26" s="4">
        <v>656</v>
      </c>
      <c r="H26" s="3">
        <f t="shared" si="0"/>
        <v>0.8177430802075696</v>
      </c>
      <c r="I26" s="32">
        <f>SUM(E26:F26)/SUM('County Totals'!$E25:$F25)</f>
        <v>0.47093889716840537</v>
      </c>
      <c r="J26">
        <f t="shared" si="1"/>
        <v>62</v>
      </c>
      <c r="K26" s="4">
        <v>0</v>
      </c>
      <c r="L26" s="4">
        <v>27</v>
      </c>
      <c r="M26" s="4">
        <v>65</v>
      </c>
      <c r="N26" s="3">
        <f t="shared" si="2"/>
        <v>0.08102637227666468</v>
      </c>
      <c r="O26" s="32">
        <f>SUM(K26:L26)/SUM('County Totals'!$E25:$F25)</f>
        <v>0.040238450074515646</v>
      </c>
      <c r="P26">
        <f t="shared" si="3"/>
        <v>62</v>
      </c>
      <c r="Q26" s="1"/>
      <c r="R26" s="1"/>
      <c r="Y26" s="38"/>
      <c r="Z26" s="38"/>
      <c r="AA26" s="1"/>
      <c r="AB26" s="1"/>
      <c r="AC26" s="1"/>
      <c r="AD26" s="1"/>
    </row>
    <row r="27" spans="1:30" ht="15">
      <c r="A27" t="s">
        <v>23</v>
      </c>
      <c r="B27" s="2">
        <f>VLOOKUP($A27,'County Totals'!$A:$D,2,FALSE)</f>
        <v>313.65599999999966</v>
      </c>
      <c r="C27" s="2">
        <f>VLOOKUP($A27,'County Totals'!$A:$D,3,FALSE)</f>
        <v>1053.0920401903597</v>
      </c>
      <c r="D27" s="2">
        <f>VLOOKUP($A27,'County Totals'!$A:$D,4,FALSE)</f>
        <v>316213</v>
      </c>
      <c r="E27" s="4">
        <v>3</v>
      </c>
      <c r="F27" s="4">
        <v>93</v>
      </c>
      <c r="G27" s="4">
        <v>246</v>
      </c>
      <c r="H27" s="3">
        <f t="shared" si="0"/>
        <v>0.42627760575291085</v>
      </c>
      <c r="I27" s="32">
        <f>SUM(E27:F27)/SUM('County Totals'!$E26:$F26)</f>
        <v>0.732824427480916</v>
      </c>
      <c r="J27">
        <f t="shared" si="1"/>
        <v>33</v>
      </c>
      <c r="K27" s="4">
        <v>1</v>
      </c>
      <c r="L27" s="4">
        <v>8</v>
      </c>
      <c r="M27" s="4">
        <v>22</v>
      </c>
      <c r="N27" s="3">
        <f t="shared" si="2"/>
        <v>0.03812238750635788</v>
      </c>
      <c r="O27" s="32">
        <f>SUM(K27:L27)/SUM('County Totals'!$E26:$F26)</f>
        <v>0.06870229007633588</v>
      </c>
      <c r="P27">
        <f t="shared" si="3"/>
        <v>40</v>
      </c>
      <c r="Q27" s="1"/>
      <c r="R27" s="1"/>
      <c r="Y27" s="38"/>
      <c r="Z27" s="38"/>
      <c r="AA27" s="1"/>
      <c r="AB27" s="1"/>
      <c r="AC27" s="1"/>
      <c r="AD27" s="1"/>
    </row>
    <row r="28" spans="1:30" ht="15">
      <c r="A28" t="s">
        <v>24</v>
      </c>
      <c r="B28" s="2">
        <f>VLOOKUP($A28,'County Totals'!$A:$D,2,FALSE)</f>
        <v>274.15999999999974</v>
      </c>
      <c r="C28" s="2">
        <f>VLOOKUP($A28,'County Totals'!$A:$D,3,FALSE)</f>
        <v>6500.200549742232</v>
      </c>
      <c r="D28" s="2">
        <f>VLOOKUP($A28,'County Totals'!$A:$D,4,FALSE)</f>
        <v>1102005</v>
      </c>
      <c r="E28" s="4">
        <v>13</v>
      </c>
      <c r="F28" s="4">
        <v>310</v>
      </c>
      <c r="G28" s="4">
        <v>836</v>
      </c>
      <c r="H28" s="3">
        <f t="shared" si="0"/>
        <v>0.4156806836455568</v>
      </c>
      <c r="I28" s="32">
        <f>SUM(E28:F28)/SUM('County Totals'!$E27:$F27)</f>
        <v>0.20365699873896595</v>
      </c>
      <c r="J28">
        <f t="shared" si="1"/>
        <v>30</v>
      </c>
      <c r="K28" s="4">
        <v>3</v>
      </c>
      <c r="L28" s="4">
        <v>24</v>
      </c>
      <c r="M28" s="4">
        <v>74</v>
      </c>
      <c r="N28" s="3">
        <f t="shared" si="2"/>
        <v>0.03679470166240575</v>
      </c>
      <c r="O28" s="32">
        <f>SUM(K28:L28)/SUM('County Totals'!$E27:$F27)</f>
        <v>0.017023959646910468</v>
      </c>
      <c r="P28">
        <f t="shared" si="3"/>
        <v>36</v>
      </c>
      <c r="Q28" s="1"/>
      <c r="R28" s="1"/>
      <c r="Y28" s="38"/>
      <c r="Z28" s="38"/>
      <c r="AA28" s="1"/>
      <c r="AB28" s="1"/>
      <c r="AC28" s="1"/>
      <c r="AD28" s="1"/>
    </row>
    <row r="29" spans="1:30" ht="15">
      <c r="A29" t="s">
        <v>25</v>
      </c>
      <c r="B29" s="2">
        <f>VLOOKUP($A29,'County Totals'!$A:$D,2,FALSE)</f>
        <v>381.6899999999999</v>
      </c>
      <c r="C29" s="2">
        <f>VLOOKUP($A29,'County Totals'!$A:$D,3,FALSE)</f>
        <v>1267.8401732634989</v>
      </c>
      <c r="D29" s="2">
        <f>VLOOKUP($A29,'County Totals'!$A:$D,4,FALSE)</f>
        <v>458948</v>
      </c>
      <c r="E29" s="4">
        <v>5</v>
      </c>
      <c r="F29" s="4">
        <v>115</v>
      </c>
      <c r="G29" s="4">
        <v>326</v>
      </c>
      <c r="H29" s="3">
        <f t="shared" si="0"/>
        <v>0.38921650597954754</v>
      </c>
      <c r="I29" s="32">
        <f>SUM(E29:F29)/SUM('County Totals'!$E28:$F28)</f>
        <v>0.4979253112033195</v>
      </c>
      <c r="J29">
        <f t="shared" si="1"/>
        <v>26</v>
      </c>
      <c r="K29" s="4">
        <v>0</v>
      </c>
      <c r="L29" s="4">
        <v>2</v>
      </c>
      <c r="M29" s="4">
        <v>11</v>
      </c>
      <c r="N29" s="3">
        <f t="shared" si="2"/>
        <v>0.013133072287653445</v>
      </c>
      <c r="O29" s="32">
        <f>SUM(K29:L29)/SUM('County Totals'!$E28:$F28)</f>
        <v>0.008298755186721992</v>
      </c>
      <c r="P29">
        <f t="shared" si="3"/>
        <v>9</v>
      </c>
      <c r="Q29" s="1"/>
      <c r="R29" s="1"/>
      <c r="Y29" s="38"/>
      <c r="Z29" s="38"/>
      <c r="AA29" s="1"/>
      <c r="AB29" s="1"/>
      <c r="AC29" s="1"/>
      <c r="AD29" s="1"/>
    </row>
    <row r="30" spans="1:30" ht="15">
      <c r="A30" t="s">
        <v>26</v>
      </c>
      <c r="B30" s="2">
        <f>VLOOKUP($A30,'County Totals'!$A:$D,2,FALSE)</f>
        <v>460.0999999999999</v>
      </c>
      <c r="C30" s="2">
        <f>VLOOKUP($A30,'County Totals'!$A:$D,3,FALSE)</f>
        <v>353.11672791037955</v>
      </c>
      <c r="D30" s="2">
        <f>VLOOKUP($A30,'County Totals'!$A:$D,4,FALSE)</f>
        <v>158078</v>
      </c>
      <c r="E30" s="4">
        <v>6</v>
      </c>
      <c r="F30" s="4">
        <v>145</v>
      </c>
      <c r="G30" s="4">
        <v>439</v>
      </c>
      <c r="H30" s="3">
        <f t="shared" si="0"/>
        <v>1.5217041283763677</v>
      </c>
      <c r="I30" s="32">
        <f>SUM(E30:F30)/SUM('County Totals'!$E29:$F29)</f>
        <v>0.6536796536796536</v>
      </c>
      <c r="J30">
        <f t="shared" si="1"/>
        <v>74</v>
      </c>
      <c r="K30" s="4">
        <v>0</v>
      </c>
      <c r="L30" s="4">
        <v>16</v>
      </c>
      <c r="M30" s="4">
        <v>36</v>
      </c>
      <c r="N30" s="3">
        <f t="shared" si="2"/>
        <v>0.12478667111970214</v>
      </c>
      <c r="O30" s="32">
        <f>SUM(K30:L30)/SUM('County Totals'!$E29:$F29)</f>
        <v>0.06926406926406926</v>
      </c>
      <c r="P30">
        <f t="shared" si="3"/>
        <v>73</v>
      </c>
      <c r="Q30" s="1"/>
      <c r="R30" s="1"/>
      <c r="Y30" s="38"/>
      <c r="Z30" s="38"/>
      <c r="AA30" s="1"/>
      <c r="AB30" s="1"/>
      <c r="AC30" s="1"/>
      <c r="AD30" s="1"/>
    </row>
    <row r="31" spans="1:30" ht="15">
      <c r="A31" t="s">
        <v>27</v>
      </c>
      <c r="B31" s="2">
        <f>VLOOKUP($A31,'County Totals'!$A:$D,2,FALSE)</f>
        <v>237.56999999999994</v>
      </c>
      <c r="C31" s="2">
        <f>VLOOKUP($A31,'County Totals'!$A:$D,3,FALSE)</f>
        <v>2421.1727137887087</v>
      </c>
      <c r="D31" s="2">
        <f>VLOOKUP($A31,'County Totals'!$A:$D,4,FALSE)</f>
        <v>533779</v>
      </c>
      <c r="E31" s="4">
        <v>5</v>
      </c>
      <c r="F31" s="4">
        <v>244</v>
      </c>
      <c r="G31" s="4">
        <v>742</v>
      </c>
      <c r="H31" s="3">
        <f t="shared" si="0"/>
        <v>0.7616922780134726</v>
      </c>
      <c r="I31" s="32">
        <f>SUM(E31:F31)/SUM('County Totals'!$E30:$F30)</f>
        <v>0.44543828264758495</v>
      </c>
      <c r="J31">
        <f t="shared" si="1"/>
        <v>59</v>
      </c>
      <c r="K31" s="4">
        <v>2</v>
      </c>
      <c r="L31" s="4">
        <v>24</v>
      </c>
      <c r="M31" s="4">
        <v>59</v>
      </c>
      <c r="N31" s="3">
        <f t="shared" si="2"/>
        <v>0.060565828036111706</v>
      </c>
      <c r="O31" s="32">
        <f>SUM(K31:L31)/SUM('County Totals'!$E30:$F30)</f>
        <v>0.046511627906976744</v>
      </c>
      <c r="P31">
        <f t="shared" si="3"/>
        <v>55</v>
      </c>
      <c r="Q31" s="1"/>
      <c r="R31" s="1"/>
      <c r="Y31" s="38"/>
      <c r="Z31" s="38"/>
      <c r="AA31" s="1"/>
      <c r="AB31" s="1"/>
      <c r="AC31" s="1"/>
      <c r="AD31" s="1"/>
    </row>
    <row r="32" spans="1:30" ht="15">
      <c r="A32" t="s">
        <v>28</v>
      </c>
      <c r="B32" s="2">
        <f>VLOOKUP($A32,'County Totals'!$A:$D,2,FALSE)</f>
        <v>327.07699999999954</v>
      </c>
      <c r="C32" s="2">
        <f>VLOOKUP($A32,'County Totals'!$A:$D,3,FALSE)</f>
        <v>7013.6265227647245</v>
      </c>
      <c r="D32" s="2">
        <f>VLOOKUP($A32,'County Totals'!$A:$D,4,FALSE)</f>
        <v>2170507</v>
      </c>
      <c r="E32" s="4">
        <v>7</v>
      </c>
      <c r="F32" s="4">
        <v>307</v>
      </c>
      <c r="G32" s="4">
        <v>803</v>
      </c>
      <c r="H32" s="3">
        <f t="shared" si="0"/>
        <v>0.2027176139031111</v>
      </c>
      <c r="I32" s="32">
        <f>SUM(E32:F32)/SUM('County Totals'!$E31:$F31)</f>
        <v>0.4137022397891963</v>
      </c>
      <c r="J32">
        <f t="shared" si="1"/>
        <v>5</v>
      </c>
      <c r="K32" s="4">
        <v>1</v>
      </c>
      <c r="L32" s="4">
        <v>33</v>
      </c>
      <c r="M32" s="4">
        <v>103</v>
      </c>
      <c r="N32" s="3">
        <f t="shared" si="2"/>
        <v>0.026002383850585856</v>
      </c>
      <c r="O32" s="32">
        <f>SUM(K32:L32)/SUM('County Totals'!$E31:$F31)</f>
        <v>0.04479578392621871</v>
      </c>
      <c r="P32">
        <f t="shared" si="3"/>
        <v>26</v>
      </c>
      <c r="Q32" s="1"/>
      <c r="R32" s="1"/>
      <c r="Y32" s="38"/>
      <c r="Z32" s="38"/>
      <c r="AA32" s="1"/>
      <c r="AB32" s="1"/>
      <c r="AC32" s="1"/>
      <c r="AD32" s="1"/>
    </row>
    <row r="33" spans="1:30" ht="15">
      <c r="A33" t="s">
        <v>29</v>
      </c>
      <c r="B33" s="2">
        <f>VLOOKUP($A33,'County Totals'!$A:$D,2,FALSE)</f>
        <v>410.7750000000006</v>
      </c>
      <c r="C33" s="2">
        <f>VLOOKUP($A33,'County Totals'!$A:$D,3,FALSE)</f>
        <v>1094.2659337935306</v>
      </c>
      <c r="D33" s="2">
        <f>VLOOKUP($A33,'County Totals'!$A:$D,4,FALSE)</f>
        <v>432606</v>
      </c>
      <c r="E33" s="4">
        <v>2</v>
      </c>
      <c r="F33" s="4">
        <v>137</v>
      </c>
      <c r="G33" s="4">
        <v>367</v>
      </c>
      <c r="H33" s="3">
        <f t="shared" si="0"/>
        <v>0.4648476683424616</v>
      </c>
      <c r="I33" s="32">
        <f>SUM(E33:F33)/SUM('County Totals'!$E32:$F32)</f>
        <v>0.6465116279069767</v>
      </c>
      <c r="J33">
        <f t="shared" si="1"/>
        <v>36</v>
      </c>
      <c r="K33" s="4">
        <v>1</v>
      </c>
      <c r="L33" s="4">
        <v>21</v>
      </c>
      <c r="M33" s="4">
        <v>84</v>
      </c>
      <c r="N33" s="3">
        <f t="shared" si="2"/>
        <v>0.10639565160971873</v>
      </c>
      <c r="O33" s="32">
        <f>SUM(K33:L33)/SUM('County Totals'!$E32:$F32)</f>
        <v>0.10232558139534884</v>
      </c>
      <c r="P33">
        <f t="shared" si="3"/>
        <v>71</v>
      </c>
      <c r="Q33" s="1"/>
      <c r="R33" s="1"/>
      <c r="Y33" s="38"/>
      <c r="Z33" s="38"/>
      <c r="AA33" s="1"/>
      <c r="AB33" s="1"/>
      <c r="AC33" s="1"/>
      <c r="AD33" s="1"/>
    </row>
    <row r="34" spans="1:30" ht="15">
      <c r="A34" t="s">
        <v>30</v>
      </c>
      <c r="B34" s="2">
        <f>VLOOKUP($A34,'County Totals'!$A:$D,2,FALSE)</f>
        <v>515.9000000000002</v>
      </c>
      <c r="C34" s="2">
        <f>VLOOKUP($A34,'County Totals'!$A:$D,3,FALSE)</f>
        <v>12572.984984764154</v>
      </c>
      <c r="D34" s="2">
        <f>VLOOKUP($A34,'County Totals'!$A:$D,4,FALSE)</f>
        <v>5471235</v>
      </c>
      <c r="E34" s="4">
        <v>24</v>
      </c>
      <c r="F34" s="4">
        <v>782</v>
      </c>
      <c r="G34" s="4">
        <v>2488</v>
      </c>
      <c r="H34" s="3">
        <f t="shared" si="0"/>
        <v>0.2491736639411169</v>
      </c>
      <c r="I34" s="32">
        <f>SUM(E34:F34)/SUM('County Totals'!$E33:$F33)</f>
        <v>0.22691441441441443</v>
      </c>
      <c r="J34">
        <f t="shared" si="1"/>
        <v>17</v>
      </c>
      <c r="K34" s="4">
        <v>3</v>
      </c>
      <c r="L34" s="4">
        <v>99</v>
      </c>
      <c r="M34" s="4">
        <v>341</v>
      </c>
      <c r="N34" s="3">
        <f t="shared" si="2"/>
        <v>0.03415121358678491</v>
      </c>
      <c r="O34" s="32">
        <f>SUM(K34:L34)/SUM('County Totals'!$E33:$F33)</f>
        <v>0.028716216216216218</v>
      </c>
      <c r="P34">
        <f t="shared" si="3"/>
        <v>33</v>
      </c>
      <c r="Q34" s="1"/>
      <c r="R34" s="1"/>
      <c r="Y34" s="38"/>
      <c r="Z34" s="38"/>
      <c r="AA34" s="1"/>
      <c r="AB34" s="1"/>
      <c r="AC34" s="1"/>
      <c r="AD34" s="1"/>
    </row>
    <row r="35" spans="1:30" ht="15">
      <c r="A35" t="s">
        <v>31</v>
      </c>
      <c r="B35" s="2">
        <f>VLOOKUP($A35,'County Totals'!$A:$D,2,FALSE)</f>
        <v>407.6699999999991</v>
      </c>
      <c r="C35" s="2">
        <f>VLOOKUP($A35,'County Totals'!$A:$D,3,FALSE)</f>
        <v>1926.6038034260312</v>
      </c>
      <c r="D35" s="2">
        <f>VLOOKUP($A35,'County Totals'!$A:$D,4,FALSE)</f>
        <v>706528</v>
      </c>
      <c r="E35" s="4">
        <v>3</v>
      </c>
      <c r="F35" s="4">
        <v>72</v>
      </c>
      <c r="G35" s="4">
        <v>299</v>
      </c>
      <c r="H35" s="3">
        <f t="shared" si="0"/>
        <v>0.231888356071318</v>
      </c>
      <c r="I35" s="32">
        <f>SUM(E35:F35)/SUM('County Totals'!$E34:$F34)</f>
        <v>0.3865979381443299</v>
      </c>
      <c r="J35">
        <f t="shared" si="1"/>
        <v>11</v>
      </c>
      <c r="K35" s="4">
        <v>0</v>
      </c>
      <c r="L35" s="4">
        <v>1</v>
      </c>
      <c r="M35" s="4">
        <v>9</v>
      </c>
      <c r="N35" s="3">
        <f t="shared" si="2"/>
        <v>0.006979917072380809</v>
      </c>
      <c r="O35" s="32">
        <f>SUM(K35:L35)/SUM('County Totals'!$E34:$F34)</f>
        <v>0.005154639175257732</v>
      </c>
      <c r="P35">
        <f t="shared" si="3"/>
        <v>3</v>
      </c>
      <c r="Q35" s="1"/>
      <c r="R35" s="1"/>
      <c r="Y35" s="38"/>
      <c r="Z35" s="38"/>
      <c r="AA35" s="1"/>
      <c r="AB35" s="1"/>
      <c r="AC35" s="1"/>
      <c r="AD35" s="1"/>
    </row>
    <row r="36" spans="1:30" ht="15">
      <c r="A36" t="s">
        <v>32</v>
      </c>
      <c r="B36" s="2">
        <f>VLOOKUP($A36,'County Totals'!$A:$D,2,FALSE)</f>
        <v>405.3439999999992</v>
      </c>
      <c r="C36" s="2">
        <f>VLOOKUP($A36,'County Totals'!$A:$D,3,FALSE)</f>
        <v>643.263436718412</v>
      </c>
      <c r="D36" s="2">
        <f>VLOOKUP($A36,'County Totals'!$A:$D,4,FALSE)</f>
        <v>243820</v>
      </c>
      <c r="E36" s="4">
        <v>4</v>
      </c>
      <c r="F36" s="4">
        <v>57</v>
      </c>
      <c r="G36" s="4">
        <v>149</v>
      </c>
      <c r="H36" s="3">
        <f aca="true" t="shared" si="4" ref="H36:H67">G36*1000000/(5*365*$B36*$D36/$B36)</f>
        <v>0.33485290630972997</v>
      </c>
      <c r="I36" s="32">
        <f>SUM(E36:F36)/SUM('County Totals'!$E35:$F35)</f>
        <v>0.6354166666666666</v>
      </c>
      <c r="J36">
        <f aca="true" t="shared" si="5" ref="J36:J67">_xlfn.RANK.AVG(H36,H$1:H$65536,1)</f>
        <v>20</v>
      </c>
      <c r="K36" s="4">
        <v>0</v>
      </c>
      <c r="L36" s="4">
        <v>4</v>
      </c>
      <c r="M36" s="4">
        <v>11</v>
      </c>
      <c r="N36" s="3">
        <f aca="true" t="shared" si="6" ref="N36:N67">M36*1000000/(5*365*$B36*$D36/$B36)</f>
        <v>0.02472068435843644</v>
      </c>
      <c r="O36" s="32">
        <f>SUM(K36:L36)/SUM('County Totals'!$E35:$F35)</f>
        <v>0.041666666666666664</v>
      </c>
      <c r="P36">
        <f aca="true" t="shared" si="7" ref="P36:P67">_xlfn.RANK.AVG(N36,N$1:N$65536,1)</f>
        <v>25</v>
      </c>
      <c r="Q36" s="1"/>
      <c r="R36" s="1"/>
      <c r="Y36" s="38"/>
      <c r="Z36" s="38"/>
      <c r="AA36" s="1"/>
      <c r="AB36" s="1"/>
      <c r="AC36" s="1"/>
      <c r="AD36" s="1"/>
    </row>
    <row r="37" spans="1:30" ht="15">
      <c r="A37" t="s">
        <v>33</v>
      </c>
      <c r="B37" s="2">
        <f>VLOOKUP($A37,'County Totals'!$A:$D,2,FALSE)</f>
        <v>281.61000000000007</v>
      </c>
      <c r="C37" s="2">
        <f>VLOOKUP($A37,'County Totals'!$A:$D,3,FALSE)</f>
        <v>243.0666497612105</v>
      </c>
      <c r="D37" s="2">
        <f>VLOOKUP($A37,'County Totals'!$A:$D,4,FALSE)</f>
        <v>57512</v>
      </c>
      <c r="E37" s="4">
        <v>1</v>
      </c>
      <c r="F37" s="4">
        <v>66</v>
      </c>
      <c r="G37" s="4">
        <v>174</v>
      </c>
      <c r="H37" s="3">
        <f t="shared" si="4"/>
        <v>1.657783866904727</v>
      </c>
      <c r="I37" s="32">
        <f>SUM(E37:F37)/SUM('County Totals'!$E36:$F36)</f>
        <v>0.6979166666666666</v>
      </c>
      <c r="J37">
        <f t="shared" si="5"/>
        <v>79</v>
      </c>
      <c r="K37" s="4">
        <v>3</v>
      </c>
      <c r="L37" s="4">
        <v>4</v>
      </c>
      <c r="M37" s="4">
        <v>19</v>
      </c>
      <c r="N37" s="3">
        <f t="shared" si="6"/>
        <v>0.18102237627120582</v>
      </c>
      <c r="O37" s="32">
        <f>SUM(K37:L37)/SUM('County Totals'!$E36:$F36)</f>
        <v>0.07291666666666667</v>
      </c>
      <c r="P37">
        <f t="shared" si="7"/>
        <v>82</v>
      </c>
      <c r="Q37" s="1"/>
      <c r="R37" s="1"/>
      <c r="Y37" s="38"/>
      <c r="Z37" s="38"/>
      <c r="AA37" s="1"/>
      <c r="AB37" s="1"/>
      <c r="AC37" s="1"/>
      <c r="AD37" s="1"/>
    </row>
    <row r="38" spans="1:30" ht="15">
      <c r="A38" t="s">
        <v>34</v>
      </c>
      <c r="B38" s="2">
        <f>VLOOKUP($A38,'County Totals'!$A:$D,2,FALSE)</f>
        <v>435.07399999999944</v>
      </c>
      <c r="C38" s="2">
        <f>VLOOKUP($A38,'County Totals'!$A:$D,3,FALSE)</f>
        <v>456.393592407563</v>
      </c>
      <c r="D38" s="2">
        <f>VLOOKUP($A38,'County Totals'!$A:$D,4,FALSE)</f>
        <v>185817</v>
      </c>
      <c r="E38" s="4">
        <v>1</v>
      </c>
      <c r="F38" s="4">
        <v>92</v>
      </c>
      <c r="G38" s="4">
        <v>212</v>
      </c>
      <c r="H38" s="3">
        <f t="shared" si="4"/>
        <v>0.6251547681947499</v>
      </c>
      <c r="I38" s="32">
        <f>SUM(E38:F38)/SUM('County Totals'!$E37:$F37)</f>
        <v>0.6888888888888889</v>
      </c>
      <c r="J38">
        <f t="shared" si="5"/>
        <v>49</v>
      </c>
      <c r="K38" s="4">
        <v>0</v>
      </c>
      <c r="L38" s="4">
        <v>4</v>
      </c>
      <c r="M38" s="4">
        <v>13</v>
      </c>
      <c r="N38" s="3">
        <f t="shared" si="6"/>
        <v>0.03833496220062146</v>
      </c>
      <c r="O38" s="32">
        <f>SUM(K38:L38)/SUM('County Totals'!$E37:$F37)</f>
        <v>0.02962962962962963</v>
      </c>
      <c r="P38">
        <f t="shared" si="7"/>
        <v>41</v>
      </c>
      <c r="Q38" s="1"/>
      <c r="R38" s="1"/>
      <c r="Y38" s="38"/>
      <c r="Z38" s="38"/>
      <c r="AA38" s="1"/>
      <c r="AB38" s="1"/>
      <c r="AC38" s="1"/>
      <c r="AD38" s="1"/>
    </row>
    <row r="39" spans="1:30" ht="15">
      <c r="A39" t="s">
        <v>35</v>
      </c>
      <c r="B39" s="2">
        <f>VLOOKUP($A39,'County Totals'!$A:$D,2,FALSE)</f>
        <v>399.69000000000034</v>
      </c>
      <c r="C39" s="2">
        <f>VLOOKUP($A39,'County Totals'!$A:$D,3,FALSE)</f>
        <v>290.3107792211284</v>
      </c>
      <c r="D39" s="2">
        <f>VLOOKUP($A39,'County Totals'!$A:$D,4,FALSE)</f>
        <v>107921</v>
      </c>
      <c r="E39" s="4">
        <v>5</v>
      </c>
      <c r="F39" s="4">
        <v>107</v>
      </c>
      <c r="G39" s="4">
        <v>290</v>
      </c>
      <c r="H39" s="3">
        <f t="shared" si="4"/>
        <v>1.472411389711373</v>
      </c>
      <c r="I39" s="32">
        <f>SUM(E39:F39)/SUM('County Totals'!$E38:$F38)</f>
        <v>0.6787878787878788</v>
      </c>
      <c r="J39">
        <f t="shared" si="5"/>
        <v>72</v>
      </c>
      <c r="K39" s="4">
        <v>0</v>
      </c>
      <c r="L39" s="4">
        <v>8</v>
      </c>
      <c r="M39" s="4">
        <v>21</v>
      </c>
      <c r="N39" s="3">
        <f t="shared" si="6"/>
        <v>0.10662289373772012</v>
      </c>
      <c r="O39" s="32">
        <f>SUM(K39:L39)/SUM('County Totals'!$E38:$F38)</f>
        <v>0.048484848484848485</v>
      </c>
      <c r="P39">
        <f t="shared" si="7"/>
        <v>72</v>
      </c>
      <c r="Q39" s="1"/>
      <c r="R39" s="1"/>
      <c r="Y39" s="38"/>
      <c r="Z39" s="38"/>
      <c r="AA39" s="1"/>
      <c r="AB39" s="1"/>
      <c r="AC39" s="1"/>
      <c r="AD39" s="1"/>
    </row>
    <row r="40" spans="1:30" ht="15">
      <c r="A40" t="s">
        <v>36</v>
      </c>
      <c r="B40" s="2">
        <f>VLOOKUP($A40,'County Totals'!$A:$D,2,FALSE)</f>
        <v>218.51999999999987</v>
      </c>
      <c r="C40" s="2">
        <f>VLOOKUP($A40,'County Totals'!$A:$D,3,FALSE)</f>
        <v>463.2355874725716</v>
      </c>
      <c r="D40" s="2">
        <f>VLOOKUP($A40,'County Totals'!$A:$D,4,FALSE)</f>
        <v>92888</v>
      </c>
      <c r="E40" s="4">
        <v>0</v>
      </c>
      <c r="F40" s="4">
        <v>109</v>
      </c>
      <c r="G40" s="4">
        <v>257</v>
      </c>
      <c r="H40" s="3">
        <f t="shared" si="4"/>
        <v>1.5160399385089482</v>
      </c>
      <c r="I40" s="32">
        <f>SUM(E40:F40)/SUM('County Totals'!$E39:$F39)</f>
        <v>0.7569444444444444</v>
      </c>
      <c r="J40">
        <f t="shared" si="5"/>
        <v>73</v>
      </c>
      <c r="K40" s="4">
        <v>0</v>
      </c>
      <c r="L40" s="4">
        <v>10</v>
      </c>
      <c r="M40" s="4">
        <v>25</v>
      </c>
      <c r="N40" s="3">
        <f t="shared" si="6"/>
        <v>0.1474747021895864</v>
      </c>
      <c r="O40" s="32">
        <f>SUM(K40:L40)/SUM('County Totals'!$E39:$F39)</f>
        <v>0.06944444444444445</v>
      </c>
      <c r="P40">
        <f t="shared" si="7"/>
        <v>77</v>
      </c>
      <c r="Q40" s="1"/>
      <c r="R40" s="1"/>
      <c r="Y40" s="38"/>
      <c r="Z40" s="38"/>
      <c r="AA40" s="1"/>
      <c r="AB40" s="1"/>
      <c r="AC40" s="1"/>
      <c r="AD40" s="1"/>
    </row>
    <row r="41" spans="1:30" ht="15">
      <c r="A41" t="s">
        <v>37</v>
      </c>
      <c r="B41" s="2">
        <f>VLOOKUP($A41,'County Totals'!$A:$D,2,FALSE)</f>
        <v>253.98700000000022</v>
      </c>
      <c r="C41" s="2">
        <f>VLOOKUP($A41,'County Totals'!$A:$D,3,FALSE)</f>
        <v>1334.794943485776</v>
      </c>
      <c r="D41" s="2">
        <f>VLOOKUP($A41,'County Totals'!$A:$D,4,FALSE)</f>
        <v>325112</v>
      </c>
      <c r="E41" s="4">
        <v>5</v>
      </c>
      <c r="F41" s="4">
        <v>103</v>
      </c>
      <c r="G41" s="4">
        <v>342</v>
      </c>
      <c r="H41" s="3">
        <f t="shared" si="4"/>
        <v>0.5764083155157995</v>
      </c>
      <c r="I41" s="32">
        <f>SUM(E41:F41)/SUM('County Totals'!$E40:$F40)</f>
        <v>0.5346534653465347</v>
      </c>
      <c r="J41">
        <f t="shared" si="5"/>
        <v>44</v>
      </c>
      <c r="K41" s="4">
        <v>0</v>
      </c>
      <c r="L41" s="4">
        <v>7</v>
      </c>
      <c r="M41" s="4">
        <v>37</v>
      </c>
      <c r="N41" s="3">
        <f t="shared" si="6"/>
        <v>0.06235996395931164</v>
      </c>
      <c r="O41" s="32">
        <f>SUM(K41:L41)/SUM('County Totals'!$E40:$F40)</f>
        <v>0.034653465346534656</v>
      </c>
      <c r="P41">
        <f t="shared" si="7"/>
        <v>57</v>
      </c>
      <c r="Q41" s="1"/>
      <c r="R41" s="1"/>
      <c r="Y41" s="38"/>
      <c r="Z41" s="38"/>
      <c r="AA41" s="1"/>
      <c r="AB41" s="1"/>
      <c r="AC41" s="1"/>
      <c r="AD41" s="1"/>
    </row>
    <row r="42" spans="1:30" ht="15">
      <c r="A42" t="s">
        <v>38</v>
      </c>
      <c r="B42" s="2">
        <f>VLOOKUP($A42,'County Totals'!$A:$D,2,FALSE)</f>
        <v>241.26000000000008</v>
      </c>
      <c r="C42" s="2">
        <f>VLOOKUP($A42,'County Totals'!$A:$D,3,FALSE)</f>
        <v>735.102609008038</v>
      </c>
      <c r="D42" s="2">
        <f>VLOOKUP($A42,'County Totals'!$A:$D,4,FALSE)</f>
        <v>163700</v>
      </c>
      <c r="E42" s="4">
        <v>3</v>
      </c>
      <c r="F42" s="4">
        <v>100</v>
      </c>
      <c r="G42" s="4">
        <v>274</v>
      </c>
      <c r="H42" s="3">
        <f t="shared" si="4"/>
        <v>0.9171471368440434</v>
      </c>
      <c r="I42" s="32">
        <f>SUM(E42:F42)/SUM('County Totals'!$E41:$F41)</f>
        <v>0.6912751677852349</v>
      </c>
      <c r="J42">
        <f t="shared" si="5"/>
        <v>63</v>
      </c>
      <c r="K42" s="4">
        <v>0</v>
      </c>
      <c r="L42" s="4">
        <v>7</v>
      </c>
      <c r="M42" s="4">
        <v>29</v>
      </c>
      <c r="N42" s="3">
        <f t="shared" si="6"/>
        <v>0.09707031740320167</v>
      </c>
      <c r="O42" s="32">
        <f>SUM(K42:L42)/SUM('County Totals'!$E41:$F41)</f>
        <v>0.04697986577181208</v>
      </c>
      <c r="P42">
        <f t="shared" si="7"/>
        <v>68</v>
      </c>
      <c r="Q42" s="1"/>
      <c r="R42" s="1"/>
      <c r="Y42" s="38"/>
      <c r="Z42" s="38"/>
      <c r="AA42" s="1"/>
      <c r="AB42" s="1"/>
      <c r="AC42" s="1"/>
      <c r="AD42" s="1"/>
    </row>
    <row r="43" spans="1:30" ht="15">
      <c r="A43" t="s">
        <v>39</v>
      </c>
      <c r="B43" s="2">
        <f>VLOOKUP($A43,'County Totals'!$A:$D,2,FALSE)</f>
        <v>306.85999999999996</v>
      </c>
      <c r="C43" s="2">
        <f>VLOOKUP($A43,'County Totals'!$A:$D,3,FALSE)</f>
        <v>366.0184322829062</v>
      </c>
      <c r="D43" s="2">
        <f>VLOOKUP($A43,'County Totals'!$A:$D,4,FALSE)</f>
        <v>105324</v>
      </c>
      <c r="E43" s="4">
        <v>6</v>
      </c>
      <c r="F43" s="4">
        <v>149</v>
      </c>
      <c r="G43" s="4">
        <v>435</v>
      </c>
      <c r="H43" s="3">
        <f t="shared" si="4"/>
        <v>2.2630755040025226</v>
      </c>
      <c r="I43" s="32">
        <f>SUM(E43:F43)/SUM('County Totals'!$E42:$F42)</f>
        <v>0.7828282828282829</v>
      </c>
      <c r="J43">
        <f t="shared" si="5"/>
        <v>87</v>
      </c>
      <c r="K43" s="4">
        <v>0</v>
      </c>
      <c r="L43" s="4">
        <v>10</v>
      </c>
      <c r="M43" s="4">
        <v>41</v>
      </c>
      <c r="N43" s="3">
        <f t="shared" si="6"/>
        <v>0.2133013693427665</v>
      </c>
      <c r="O43" s="32">
        <f>SUM(K43:L43)/SUM('County Totals'!$E42:$F42)</f>
        <v>0.050505050505050504</v>
      </c>
      <c r="P43">
        <f t="shared" si="7"/>
        <v>84</v>
      </c>
      <c r="Q43" s="1"/>
      <c r="R43" s="1"/>
      <c r="Y43" s="38"/>
      <c r="Z43" s="38"/>
      <c r="AA43" s="1"/>
      <c r="AB43" s="1"/>
      <c r="AC43" s="1"/>
      <c r="AD43" s="1"/>
    </row>
    <row r="44" spans="1:30" ht="15">
      <c r="A44" t="s">
        <v>40</v>
      </c>
      <c r="B44" s="2">
        <f>VLOOKUP($A44,'County Totals'!$A:$D,2,FALSE)</f>
        <v>263.3600000000001</v>
      </c>
      <c r="C44" s="2">
        <f>VLOOKUP($A44,'County Totals'!$A:$D,3,FALSE)</f>
        <v>775.9359205002994</v>
      </c>
      <c r="D44" s="2">
        <f>VLOOKUP($A44,'County Totals'!$A:$D,4,FALSE)</f>
        <v>181150</v>
      </c>
      <c r="E44" s="4">
        <v>3</v>
      </c>
      <c r="F44" s="4">
        <v>154</v>
      </c>
      <c r="G44" s="4">
        <v>469</v>
      </c>
      <c r="H44" s="3">
        <f t="shared" si="4"/>
        <v>1.4186381527455867</v>
      </c>
      <c r="I44" s="32">
        <f>SUM(E44:F44)/SUM('County Totals'!$E43:$F43)</f>
        <v>0.6061776061776062</v>
      </c>
      <c r="J44">
        <f t="shared" si="5"/>
        <v>71</v>
      </c>
      <c r="K44" s="4">
        <v>0</v>
      </c>
      <c r="L44" s="4">
        <v>29</v>
      </c>
      <c r="M44" s="4">
        <v>88</v>
      </c>
      <c r="N44" s="3">
        <f t="shared" si="6"/>
        <v>0.26618370456633605</v>
      </c>
      <c r="O44" s="32">
        <f>SUM(K44:L44)/SUM('County Totals'!$E43:$F43)</f>
        <v>0.11196911196911197</v>
      </c>
      <c r="P44">
        <f t="shared" si="7"/>
        <v>86</v>
      </c>
      <c r="Q44" s="1"/>
      <c r="R44" s="1"/>
      <c r="Y44" s="38"/>
      <c r="Z44" s="38"/>
      <c r="AA44" s="1"/>
      <c r="AB44" s="1"/>
      <c r="AC44" s="1"/>
      <c r="AD44" s="1"/>
    </row>
    <row r="45" spans="1:30" ht="15">
      <c r="A45" t="s">
        <v>41</v>
      </c>
      <c r="B45" s="2">
        <f>VLOOKUP($A45,'County Totals'!$A:$D,2,FALSE)</f>
        <v>434.68000000000023</v>
      </c>
      <c r="C45" s="2">
        <f>VLOOKUP($A45,'County Totals'!$A:$D,3,FALSE)</f>
        <v>336.44900499104983</v>
      </c>
      <c r="D45" s="2">
        <f>VLOOKUP($A45,'County Totals'!$A:$D,4,FALSE)</f>
        <v>131383</v>
      </c>
      <c r="E45" s="4">
        <v>2</v>
      </c>
      <c r="F45" s="4">
        <v>189</v>
      </c>
      <c r="G45" s="4">
        <v>508</v>
      </c>
      <c r="H45" s="3">
        <f t="shared" si="4"/>
        <v>2.1186619607069535</v>
      </c>
      <c r="I45" s="32">
        <f>SUM(E45:F45)/SUM('County Totals'!$E44:$F44)</f>
        <v>0.7074074074074074</v>
      </c>
      <c r="J45">
        <f t="shared" si="5"/>
        <v>85</v>
      </c>
      <c r="K45" s="4">
        <v>0</v>
      </c>
      <c r="L45" s="4">
        <v>6</v>
      </c>
      <c r="M45" s="4">
        <v>21</v>
      </c>
      <c r="N45" s="3">
        <f t="shared" si="6"/>
        <v>0.08758248262764964</v>
      </c>
      <c r="O45" s="32">
        <f>SUM(K45:L45)/SUM('County Totals'!$E44:$F44)</f>
        <v>0.022222222222222223</v>
      </c>
      <c r="P45">
        <f t="shared" si="7"/>
        <v>64</v>
      </c>
      <c r="Q45" s="1"/>
      <c r="R45" s="1"/>
      <c r="Y45" s="38"/>
      <c r="Z45" s="38"/>
      <c r="AA45" s="1"/>
      <c r="AB45" s="1"/>
      <c r="AC45" s="1"/>
      <c r="AD45" s="1"/>
    </row>
    <row r="46" spans="1:30" ht="15">
      <c r="A46" t="s">
        <v>42</v>
      </c>
      <c r="B46" s="2">
        <f>VLOOKUP($A46,'County Totals'!$A:$D,2,FALSE)</f>
        <v>158.16000000000005</v>
      </c>
      <c r="C46" s="2">
        <f>VLOOKUP($A46,'County Totals'!$A:$D,3,FALSE)</f>
        <v>3221.6909984086356</v>
      </c>
      <c r="D46" s="2">
        <f>VLOOKUP($A46,'County Totals'!$A:$D,4,FALSE)</f>
        <v>465631</v>
      </c>
      <c r="E46" s="4">
        <v>4</v>
      </c>
      <c r="F46" s="4">
        <v>118</v>
      </c>
      <c r="G46" s="4">
        <v>378</v>
      </c>
      <c r="H46" s="3">
        <f t="shared" si="4"/>
        <v>0.44482280533562596</v>
      </c>
      <c r="I46" s="32">
        <f>SUM(E46:F46)/SUM('County Totals'!$E45:$F45)</f>
        <v>0.40131578947368424</v>
      </c>
      <c r="J46">
        <f t="shared" si="5"/>
        <v>34</v>
      </c>
      <c r="K46" s="4">
        <v>0</v>
      </c>
      <c r="L46" s="4">
        <v>9</v>
      </c>
      <c r="M46" s="4">
        <v>31</v>
      </c>
      <c r="N46" s="3">
        <f t="shared" si="6"/>
        <v>0.03648017715715451</v>
      </c>
      <c r="O46" s="32">
        <f>SUM(K46:L46)/SUM('County Totals'!$E45:$F45)</f>
        <v>0.029605263157894735</v>
      </c>
      <c r="P46">
        <f t="shared" si="7"/>
        <v>35</v>
      </c>
      <c r="Q46" s="1"/>
      <c r="R46" s="1"/>
      <c r="Y46" s="38"/>
      <c r="Z46" s="38"/>
      <c r="AA46" s="1"/>
      <c r="AB46" s="1"/>
      <c r="AC46" s="1"/>
      <c r="AD46" s="1"/>
    </row>
    <row r="47" spans="1:30" ht="15">
      <c r="A47" t="s">
        <v>43</v>
      </c>
      <c r="B47" s="2">
        <f>VLOOKUP($A47,'County Totals'!$A:$D,2,FALSE)</f>
        <v>380.79999999999967</v>
      </c>
      <c r="C47" s="2">
        <f>VLOOKUP($A47,'County Totals'!$A:$D,3,FALSE)</f>
        <v>707.5460503249816</v>
      </c>
      <c r="D47" s="2">
        <f>VLOOKUP($A47,'County Totals'!$A:$D,4,FALSE)</f>
        <v>262351</v>
      </c>
      <c r="E47" s="4">
        <v>3</v>
      </c>
      <c r="F47" s="4">
        <v>316</v>
      </c>
      <c r="G47" s="4">
        <v>755</v>
      </c>
      <c r="H47" s="3">
        <f t="shared" si="4"/>
        <v>1.5768898541914698</v>
      </c>
      <c r="I47" s="32">
        <f>SUM(E47:F47)/SUM('County Totals'!$E46:$F46)</f>
        <v>0.6076190476190476</v>
      </c>
      <c r="J47">
        <f t="shared" si="5"/>
        <v>76</v>
      </c>
      <c r="K47" s="4">
        <v>0</v>
      </c>
      <c r="L47" s="4">
        <v>20</v>
      </c>
      <c r="M47" s="4">
        <v>62</v>
      </c>
      <c r="N47" s="3">
        <f t="shared" si="6"/>
        <v>0.12949294166870348</v>
      </c>
      <c r="O47" s="32">
        <f>SUM(K47:L47)/SUM('County Totals'!$E46:$F46)</f>
        <v>0.0380952380952381</v>
      </c>
      <c r="P47">
        <f t="shared" si="7"/>
        <v>74</v>
      </c>
      <c r="Q47" s="1"/>
      <c r="R47" s="1"/>
      <c r="Y47" s="38"/>
      <c r="Z47" s="38"/>
      <c r="AA47" s="1"/>
      <c r="AB47" s="1"/>
      <c r="AC47" s="1"/>
      <c r="AD47" s="1"/>
    </row>
    <row r="48" spans="1:30" ht="15">
      <c r="A48" t="s">
        <v>44</v>
      </c>
      <c r="B48" s="2">
        <f>VLOOKUP($A48,'County Totals'!$A:$D,2,FALSE)</f>
        <v>434.1999999999999</v>
      </c>
      <c r="C48" s="2">
        <f>VLOOKUP($A48,'County Totals'!$A:$D,3,FALSE)</f>
        <v>746.8597837540084</v>
      </c>
      <c r="D48" s="2">
        <f>VLOOKUP($A48,'County Totals'!$A:$D,4,FALSE)</f>
        <v>295572</v>
      </c>
      <c r="E48" s="4">
        <v>6</v>
      </c>
      <c r="F48" s="4">
        <v>320</v>
      </c>
      <c r="G48" s="4">
        <v>829</v>
      </c>
      <c r="H48" s="3">
        <f t="shared" si="4"/>
        <v>1.5368389947033743</v>
      </c>
      <c r="I48" s="32">
        <f>SUM(E48:F48)/SUM('County Totals'!$E47:$F47)</f>
        <v>0.6379647749510763</v>
      </c>
      <c r="J48">
        <f t="shared" si="5"/>
        <v>75</v>
      </c>
      <c r="K48" s="4">
        <v>1</v>
      </c>
      <c r="L48" s="4">
        <v>17</v>
      </c>
      <c r="M48" s="4">
        <v>45</v>
      </c>
      <c r="N48" s="3">
        <f t="shared" si="6"/>
        <v>0.0834231058644775</v>
      </c>
      <c r="O48" s="32">
        <f>SUM(K48:L48)/SUM('County Totals'!$E47:$F47)</f>
        <v>0.03522504892367906</v>
      </c>
      <c r="P48">
        <f t="shared" si="7"/>
        <v>63</v>
      </c>
      <c r="Q48" s="1"/>
      <c r="R48" s="1"/>
      <c r="Y48" s="38"/>
      <c r="Z48" s="38"/>
      <c r="AA48" s="1"/>
      <c r="AB48" s="1"/>
      <c r="AC48" s="1"/>
      <c r="AD48" s="1"/>
    </row>
    <row r="49" spans="1:30" ht="15">
      <c r="A49" t="s">
        <v>45</v>
      </c>
      <c r="B49" s="2">
        <f>VLOOKUP($A49,'County Totals'!$A:$D,2,FALSE)</f>
        <v>376.65999999999985</v>
      </c>
      <c r="C49" s="2">
        <f>VLOOKUP($A49,'County Totals'!$A:$D,3,FALSE)</f>
        <v>652.7612179854636</v>
      </c>
      <c r="D49" s="2">
        <f>VLOOKUP($A49,'County Totals'!$A:$D,4,FALSE)</f>
        <v>227751</v>
      </c>
      <c r="E49" s="4">
        <v>5</v>
      </c>
      <c r="F49" s="4">
        <v>147</v>
      </c>
      <c r="G49" s="4">
        <v>450</v>
      </c>
      <c r="H49" s="3">
        <f t="shared" si="4"/>
        <v>1.0826531715151786</v>
      </c>
      <c r="I49" s="32">
        <f>SUM(E49:F49)/SUM('County Totals'!$E48:$F48)</f>
        <v>0.658008658008658</v>
      </c>
      <c r="J49">
        <f t="shared" si="5"/>
        <v>67</v>
      </c>
      <c r="K49" s="4">
        <v>0</v>
      </c>
      <c r="L49" s="4">
        <v>5</v>
      </c>
      <c r="M49" s="4">
        <v>38</v>
      </c>
      <c r="N49" s="3">
        <f t="shared" si="6"/>
        <v>0.09142404559461507</v>
      </c>
      <c r="O49" s="32">
        <f>SUM(K49:L49)/SUM('County Totals'!$E48:$F48)</f>
        <v>0.021645021645021644</v>
      </c>
      <c r="P49">
        <f t="shared" si="7"/>
        <v>67</v>
      </c>
      <c r="Q49" s="1"/>
      <c r="R49" s="1"/>
      <c r="Y49" s="38"/>
      <c r="Z49" s="38"/>
      <c r="AA49" s="1"/>
      <c r="AB49" s="1"/>
      <c r="AC49" s="1"/>
      <c r="AD49" s="1"/>
    </row>
    <row r="50" spans="1:30" ht="15">
      <c r="A50" t="s">
        <v>46</v>
      </c>
      <c r="B50" s="2">
        <f>VLOOKUP($A50,'County Totals'!$A:$D,2,FALSE)</f>
        <v>276.89999999999986</v>
      </c>
      <c r="C50" s="2">
        <f>VLOOKUP($A50,'County Totals'!$A:$D,3,FALSE)</f>
        <v>2251.648213912681</v>
      </c>
      <c r="D50" s="2">
        <f>VLOOKUP($A50,'County Totals'!$A:$D,4,FALSE)</f>
        <v>538932</v>
      </c>
      <c r="E50" s="4">
        <v>12</v>
      </c>
      <c r="F50" s="4">
        <v>264</v>
      </c>
      <c r="G50" s="4">
        <v>697</v>
      </c>
      <c r="H50" s="3">
        <f t="shared" si="4"/>
        <v>0.7086567660097713</v>
      </c>
      <c r="I50" s="32">
        <f>SUM(E50:F50)/SUM('County Totals'!$E49:$F49)</f>
        <v>0.3817427385892116</v>
      </c>
      <c r="J50">
        <f t="shared" si="5"/>
        <v>54</v>
      </c>
      <c r="K50" s="4">
        <v>1</v>
      </c>
      <c r="L50" s="4">
        <v>10</v>
      </c>
      <c r="M50" s="4">
        <v>46</v>
      </c>
      <c r="N50" s="3">
        <f t="shared" si="6"/>
        <v>0.046769313108248896</v>
      </c>
      <c r="O50" s="32">
        <f>SUM(K50:L50)/SUM('County Totals'!$E49:$F49)</f>
        <v>0.015214384508990318</v>
      </c>
      <c r="P50">
        <f t="shared" si="7"/>
        <v>48</v>
      </c>
      <c r="Q50" s="1"/>
      <c r="R50" s="1"/>
      <c r="Y50" s="38"/>
      <c r="Z50" s="38"/>
      <c r="AA50" s="1"/>
      <c r="AB50" s="1"/>
      <c r="AC50" s="1"/>
      <c r="AD50" s="1"/>
    </row>
    <row r="51" spans="1:30" ht="15">
      <c r="A51" t="s">
        <v>47</v>
      </c>
      <c r="B51" s="2">
        <f>VLOOKUP($A51,'County Totals'!$A:$D,2,FALSE)</f>
        <v>302.4299999999998</v>
      </c>
      <c r="C51" s="2">
        <f>VLOOKUP($A51,'County Totals'!$A:$D,3,FALSE)</f>
        <v>4587.441243366186</v>
      </c>
      <c r="D51" s="2">
        <f>VLOOKUP($A51,'County Totals'!$A:$D,4,FALSE)</f>
        <v>1210167</v>
      </c>
      <c r="E51" s="4">
        <v>4</v>
      </c>
      <c r="F51" s="4">
        <v>185</v>
      </c>
      <c r="G51" s="4">
        <v>482</v>
      </c>
      <c r="H51" s="3">
        <f t="shared" si="4"/>
        <v>0.2182422665971687</v>
      </c>
      <c r="I51" s="32">
        <f>SUM(E51:F51)/SUM('County Totals'!$E50:$F50)</f>
        <v>0.21575342465753425</v>
      </c>
      <c r="J51">
        <f t="shared" si="5"/>
        <v>8</v>
      </c>
      <c r="K51" s="4">
        <v>0</v>
      </c>
      <c r="L51" s="4">
        <v>12</v>
      </c>
      <c r="M51" s="4">
        <v>30</v>
      </c>
      <c r="N51" s="3">
        <f t="shared" si="6"/>
        <v>0.01358354356413913</v>
      </c>
      <c r="O51" s="32">
        <f>SUM(K51:L51)/SUM('County Totals'!$E50:$F50)</f>
        <v>0.0136986301369863</v>
      </c>
      <c r="P51">
        <f t="shared" si="7"/>
        <v>10</v>
      </c>
      <c r="Q51" s="1"/>
      <c r="R51" s="1"/>
      <c r="Y51" s="38"/>
      <c r="Z51" s="38"/>
      <c r="AA51" s="1"/>
      <c r="AB51" s="1"/>
      <c r="AC51" s="1"/>
      <c r="AD51" s="1"/>
    </row>
    <row r="52" spans="1:30" ht="15">
      <c r="A52" t="s">
        <v>48</v>
      </c>
      <c r="B52" s="2">
        <f>VLOOKUP($A52,'County Totals'!$A:$D,2,FALSE)</f>
        <v>343.90999999999974</v>
      </c>
      <c r="C52" s="2">
        <f>VLOOKUP($A52,'County Totals'!$A:$D,3,FALSE)</f>
        <v>782.0900831378984</v>
      </c>
      <c r="D52" s="2">
        <f>VLOOKUP($A52,'County Totals'!$A:$D,4,FALSE)</f>
        <v>259449</v>
      </c>
      <c r="E52" s="4">
        <v>3</v>
      </c>
      <c r="F52" s="4">
        <v>141</v>
      </c>
      <c r="G52" s="4">
        <v>310</v>
      </c>
      <c r="H52" s="3">
        <f t="shared" si="4"/>
        <v>0.6547067581629921</v>
      </c>
      <c r="I52" s="32">
        <f>SUM(E52:F52)/SUM('County Totals'!$E51:$F51)</f>
        <v>0.6515837104072398</v>
      </c>
      <c r="J52">
        <f t="shared" si="5"/>
        <v>50</v>
      </c>
      <c r="K52" s="4">
        <v>0</v>
      </c>
      <c r="L52" s="4">
        <v>14</v>
      </c>
      <c r="M52" s="4">
        <v>38</v>
      </c>
      <c r="N52" s="3">
        <f t="shared" si="6"/>
        <v>0.08025437680707645</v>
      </c>
      <c r="O52" s="32">
        <f>SUM(K52:L52)/SUM('County Totals'!$E51:$F51)</f>
        <v>0.06334841628959276</v>
      </c>
      <c r="P52">
        <f t="shared" si="7"/>
        <v>61</v>
      </c>
      <c r="Q52" s="1"/>
      <c r="R52" s="1"/>
      <c r="Y52" s="38"/>
      <c r="Z52" s="38"/>
      <c r="AA52" s="1"/>
      <c r="AB52" s="1"/>
      <c r="AC52" s="1"/>
      <c r="AD52" s="1"/>
    </row>
    <row r="53" spans="1:30" ht="15">
      <c r="A53" t="s">
        <v>49</v>
      </c>
      <c r="B53" s="2">
        <f>VLOOKUP($A53,'County Totals'!$A:$D,2,FALSE)</f>
        <v>502.9199999999996</v>
      </c>
      <c r="C53" s="2">
        <f>VLOOKUP($A53,'County Totals'!$A:$D,3,FALSE)</f>
        <v>3432.4187411432604</v>
      </c>
      <c r="D53" s="2">
        <f>VLOOKUP($A53,'County Totals'!$A:$D,4,FALSE)</f>
        <v>1538084</v>
      </c>
      <c r="E53" s="4">
        <v>6</v>
      </c>
      <c r="F53" s="4">
        <v>336</v>
      </c>
      <c r="G53" s="4">
        <v>1086</v>
      </c>
      <c r="H53" s="3">
        <f t="shared" si="4"/>
        <v>0.38688946322221995</v>
      </c>
      <c r="I53" s="32">
        <f>SUM(E53:F53)/SUM('County Totals'!$E52:$F52)</f>
        <v>0.23392612859097128</v>
      </c>
      <c r="J53">
        <f t="shared" si="5"/>
        <v>25</v>
      </c>
      <c r="K53" s="4">
        <v>0</v>
      </c>
      <c r="L53" s="4">
        <v>20</v>
      </c>
      <c r="M53" s="4">
        <v>62</v>
      </c>
      <c r="N53" s="3">
        <f t="shared" si="6"/>
        <v>0.022087612080826553</v>
      </c>
      <c r="O53" s="32">
        <f>SUM(K53:L53)/SUM('County Totals'!$E52:$F52)</f>
        <v>0.013679890560875513</v>
      </c>
      <c r="P53">
        <f t="shared" si="7"/>
        <v>24</v>
      </c>
      <c r="Q53" s="1"/>
      <c r="R53" s="1"/>
      <c r="Y53" s="38"/>
      <c r="Z53" s="38"/>
      <c r="AA53" s="1"/>
      <c r="AB53" s="1"/>
      <c r="AC53" s="1"/>
      <c r="AD53" s="1"/>
    </row>
    <row r="54" spans="1:30" ht="15">
      <c r="A54" t="s">
        <v>50</v>
      </c>
      <c r="B54" s="2">
        <f>VLOOKUP($A54,'County Totals'!$A:$D,2,FALSE)</f>
        <v>389.6359999999992</v>
      </c>
      <c r="C54" s="2">
        <f>VLOOKUP($A54,'County Totals'!$A:$D,3,FALSE)</f>
        <v>1617.9403877469992</v>
      </c>
      <c r="D54" s="2">
        <f>VLOOKUP($A54,'County Totals'!$A:$D,4,FALSE)</f>
        <v>599112</v>
      </c>
      <c r="E54" s="4">
        <v>7</v>
      </c>
      <c r="F54" s="4">
        <v>139</v>
      </c>
      <c r="G54" s="4">
        <v>395</v>
      </c>
      <c r="H54" s="3">
        <f t="shared" si="4"/>
        <v>0.3612652662012839</v>
      </c>
      <c r="I54" s="32">
        <f>SUM(E54:F54)/SUM('County Totals'!$E53:$F53)</f>
        <v>0.5270758122743683</v>
      </c>
      <c r="J54">
        <f t="shared" si="5"/>
        <v>23</v>
      </c>
      <c r="K54" s="4">
        <v>0</v>
      </c>
      <c r="L54" s="4">
        <v>7</v>
      </c>
      <c r="M54" s="4">
        <v>18</v>
      </c>
      <c r="N54" s="3">
        <f t="shared" si="6"/>
        <v>0.01646272099145091</v>
      </c>
      <c r="O54" s="32">
        <f>SUM(K54:L54)/SUM('County Totals'!$E53:$F53)</f>
        <v>0.02527075812274368</v>
      </c>
      <c r="P54">
        <f t="shared" si="7"/>
        <v>16</v>
      </c>
      <c r="Q54" s="1"/>
      <c r="R54" s="1"/>
      <c r="Y54" s="38"/>
      <c r="Z54" s="38"/>
      <c r="AA54" s="1"/>
      <c r="AB54" s="1"/>
      <c r="AC54" s="1"/>
      <c r="AD54" s="1"/>
    </row>
    <row r="55" spans="1:30" ht="15">
      <c r="A55" t="s">
        <v>51</v>
      </c>
      <c r="B55" s="2">
        <f>VLOOKUP($A55,'County Totals'!$A:$D,2,FALSE)</f>
        <v>351.76999999999987</v>
      </c>
      <c r="C55" s="2">
        <f>VLOOKUP($A55,'County Totals'!$A:$D,3,FALSE)</f>
        <v>2524.197990034408</v>
      </c>
      <c r="D55" s="2">
        <f>VLOOKUP($A55,'County Totals'!$A:$D,4,FALSE)</f>
        <v>779124</v>
      </c>
      <c r="E55" s="4">
        <v>6</v>
      </c>
      <c r="F55" s="4">
        <v>264</v>
      </c>
      <c r="G55" s="4">
        <v>741</v>
      </c>
      <c r="H55" s="3">
        <f t="shared" si="4"/>
        <v>0.5211332178963477</v>
      </c>
      <c r="I55" s="32">
        <f>SUM(E55:F55)/SUM('County Totals'!$E54:$F54)</f>
        <v>0.4639175257731959</v>
      </c>
      <c r="J55">
        <f t="shared" si="5"/>
        <v>39</v>
      </c>
      <c r="K55" s="4">
        <v>0</v>
      </c>
      <c r="L55" s="4">
        <v>6</v>
      </c>
      <c r="M55" s="4">
        <v>17</v>
      </c>
      <c r="N55" s="3">
        <f t="shared" si="6"/>
        <v>0.011955822812736721</v>
      </c>
      <c r="O55" s="32">
        <f>SUM(K55:L55)/SUM('County Totals'!$E54:$F54)</f>
        <v>0.010309278350515464</v>
      </c>
      <c r="P55">
        <f t="shared" si="7"/>
        <v>7</v>
      </c>
      <c r="Q55" s="1"/>
      <c r="R55" s="1"/>
      <c r="Y55" s="38"/>
      <c r="Z55" s="38"/>
      <c r="AA55" s="1"/>
      <c r="AB55" s="1"/>
      <c r="AC55" s="1"/>
      <c r="AD55" s="1"/>
    </row>
    <row r="56" spans="1:30" ht="15">
      <c r="A56" t="s">
        <v>52</v>
      </c>
      <c r="B56" s="2">
        <f>VLOOKUP($A56,'County Totals'!$A:$D,2,FALSE)</f>
        <v>259.35999999999996</v>
      </c>
      <c r="C56" s="2">
        <f>VLOOKUP($A56,'County Totals'!$A:$D,3,FALSE)</f>
        <v>442.6428431180053</v>
      </c>
      <c r="D56" s="2">
        <f>VLOOKUP($A56,'County Totals'!$A:$D,4,FALSE)</f>
        <v>112719</v>
      </c>
      <c r="E56" s="4">
        <v>3</v>
      </c>
      <c r="F56" s="4">
        <v>98</v>
      </c>
      <c r="G56" s="4">
        <v>217</v>
      </c>
      <c r="H56" s="3">
        <f t="shared" si="4"/>
        <v>1.0548719345366895</v>
      </c>
      <c r="I56" s="32">
        <f>SUM(E56:F56)/SUM('County Totals'!$E55:$F55)</f>
        <v>0.753731343283582</v>
      </c>
      <c r="J56">
        <f t="shared" si="5"/>
        <v>66</v>
      </c>
      <c r="K56" s="4">
        <v>0</v>
      </c>
      <c r="L56" s="4">
        <v>8</v>
      </c>
      <c r="M56" s="4">
        <v>16</v>
      </c>
      <c r="N56" s="3">
        <f t="shared" si="6"/>
        <v>0.07777857581837341</v>
      </c>
      <c r="O56" s="32">
        <f>SUM(K56:L56)/SUM('County Totals'!$E55:$F55)</f>
        <v>0.05970149253731343</v>
      </c>
      <c r="P56">
        <f t="shared" si="7"/>
        <v>60</v>
      </c>
      <c r="Q56" s="1"/>
      <c r="R56" s="1"/>
      <c r="Y56" s="38"/>
      <c r="Z56" s="38"/>
      <c r="AA56" s="1"/>
      <c r="AB56" s="1"/>
      <c r="AC56" s="1"/>
      <c r="AD56" s="1"/>
    </row>
    <row r="57" spans="1:30" ht="15">
      <c r="A57" t="s">
        <v>53</v>
      </c>
      <c r="B57" s="2">
        <f>VLOOKUP($A57,'County Totals'!$A:$D,2,FALSE)</f>
        <v>399.80899999999946</v>
      </c>
      <c r="C57" s="2">
        <f>VLOOKUP($A57,'County Totals'!$A:$D,3,FALSE)</f>
        <v>489.8958873509119</v>
      </c>
      <c r="D57" s="2">
        <f>VLOOKUP($A57,'County Totals'!$A:$D,4,FALSE)</f>
        <v>184218</v>
      </c>
      <c r="E57" s="4">
        <v>4</v>
      </c>
      <c r="F57" s="4">
        <v>71</v>
      </c>
      <c r="G57" s="4">
        <v>180</v>
      </c>
      <c r="H57" s="3">
        <f t="shared" si="4"/>
        <v>0.5353990217367541</v>
      </c>
      <c r="I57" s="32">
        <f>SUM(E57:F57)/SUM('County Totals'!$E56:$F56)</f>
        <v>0.5474452554744526</v>
      </c>
      <c r="J57">
        <f t="shared" si="5"/>
        <v>40</v>
      </c>
      <c r="K57" s="4">
        <v>0</v>
      </c>
      <c r="L57" s="4">
        <v>7</v>
      </c>
      <c r="M57" s="4">
        <v>16</v>
      </c>
      <c r="N57" s="3">
        <f t="shared" si="6"/>
        <v>0.047591024154378145</v>
      </c>
      <c r="O57" s="32">
        <f>SUM(K57:L57)/SUM('County Totals'!$E56:$F56)</f>
        <v>0.051094890510948905</v>
      </c>
      <c r="P57">
        <f t="shared" si="7"/>
        <v>49</v>
      </c>
      <c r="Q57" s="1"/>
      <c r="R57" s="1"/>
      <c r="Y57" s="38"/>
      <c r="Z57" s="38"/>
      <c r="AA57" s="1"/>
      <c r="AB57" s="1"/>
      <c r="AC57" s="1"/>
      <c r="AD57" s="1"/>
    </row>
    <row r="58" spans="1:30" ht="15">
      <c r="A58" t="s">
        <v>54</v>
      </c>
      <c r="B58" s="2">
        <f>VLOOKUP($A58,'County Totals'!$A:$D,2,FALSE)</f>
        <v>447.6599999999993</v>
      </c>
      <c r="C58" s="2">
        <f>VLOOKUP($A58,'County Totals'!$A:$D,3,FALSE)</f>
        <v>2758.7248305028543</v>
      </c>
      <c r="D58" s="2">
        <f>VLOOKUP($A58,'County Totals'!$A:$D,4,FALSE)</f>
        <v>1081536</v>
      </c>
      <c r="E58" s="4">
        <v>7</v>
      </c>
      <c r="F58" s="4">
        <v>149</v>
      </c>
      <c r="G58" s="4">
        <v>577</v>
      </c>
      <c r="H58" s="3">
        <f t="shared" si="4"/>
        <v>0.2923290427333383</v>
      </c>
      <c r="I58" s="32">
        <f>SUM(E58:F58)/SUM('County Totals'!$E57:$F57)</f>
        <v>0.4890282131661442</v>
      </c>
      <c r="J58">
        <f t="shared" si="5"/>
        <v>19</v>
      </c>
      <c r="K58" s="4">
        <v>1</v>
      </c>
      <c r="L58" s="4">
        <v>4</v>
      </c>
      <c r="M58" s="4">
        <v>31</v>
      </c>
      <c r="N58" s="3">
        <f t="shared" si="6"/>
        <v>0.01570571980023135</v>
      </c>
      <c r="O58" s="32">
        <f>SUM(K58:L58)/SUM('County Totals'!$E57:$F57)</f>
        <v>0.01567398119122257</v>
      </c>
      <c r="P58">
        <f t="shared" si="7"/>
        <v>14</v>
      </c>
      <c r="Q58" s="1"/>
      <c r="R58" s="1"/>
      <c r="Y58" s="38"/>
      <c r="Z58" s="38"/>
      <c r="AA58" s="1"/>
      <c r="AB58" s="1"/>
      <c r="AC58" s="1"/>
      <c r="AD58" s="1"/>
    </row>
    <row r="59" spans="1:30" ht="15">
      <c r="A59" t="s">
        <v>55</v>
      </c>
      <c r="B59" s="2">
        <f>VLOOKUP($A59,'County Totals'!$A:$D,2,FALSE)</f>
        <v>372.2200000000002</v>
      </c>
      <c r="C59" s="2">
        <f>VLOOKUP($A59,'County Totals'!$A:$D,3,FALSE)</f>
        <v>217.56302758250752</v>
      </c>
      <c r="D59" s="2">
        <f>VLOOKUP($A59,'County Totals'!$A:$D,4,FALSE)</f>
        <v>77063</v>
      </c>
      <c r="E59" s="4">
        <v>1</v>
      </c>
      <c r="F59" s="4">
        <v>27</v>
      </c>
      <c r="G59" s="4">
        <v>110</v>
      </c>
      <c r="H59" s="3">
        <f t="shared" si="4"/>
        <v>0.7821389331162779</v>
      </c>
      <c r="I59" s="32">
        <f>SUM(E59:F59)/SUM('County Totals'!$E58:$F58)</f>
        <v>0.7777777777777778</v>
      </c>
      <c r="J59">
        <f t="shared" si="5"/>
        <v>61</v>
      </c>
      <c r="K59" s="4">
        <v>0</v>
      </c>
      <c r="L59" s="4">
        <v>0</v>
      </c>
      <c r="M59" s="4">
        <v>6</v>
      </c>
      <c r="N59" s="3">
        <f t="shared" si="6"/>
        <v>0.04266212362452425</v>
      </c>
      <c r="O59" s="32">
        <f>SUM(K59:L59)/SUM('County Totals'!$E58:$F58)</f>
        <v>0</v>
      </c>
      <c r="P59">
        <f t="shared" si="7"/>
        <v>46</v>
      </c>
      <c r="Q59" s="1"/>
      <c r="R59" s="1"/>
      <c r="Y59" s="38"/>
      <c r="Z59" s="38"/>
      <c r="AA59" s="1"/>
      <c r="AB59" s="1"/>
      <c r="AC59" s="1"/>
      <c r="AD59" s="1"/>
    </row>
    <row r="60" spans="1:30" ht="15">
      <c r="A60" t="s">
        <v>56</v>
      </c>
      <c r="B60" s="2">
        <f>VLOOKUP($A60,'County Totals'!$A:$D,2,FALSE)</f>
        <v>339.02</v>
      </c>
      <c r="C60" s="2">
        <f>VLOOKUP($A60,'County Totals'!$A:$D,3,FALSE)</f>
        <v>4306.20358163491</v>
      </c>
      <c r="D60" s="2">
        <f>VLOOKUP($A60,'County Totals'!$A:$D,4,FALSE)</f>
        <v>1051773</v>
      </c>
      <c r="E60" s="4">
        <v>11</v>
      </c>
      <c r="F60" s="4">
        <v>302</v>
      </c>
      <c r="G60" s="4">
        <v>801</v>
      </c>
      <c r="H60" s="3">
        <f t="shared" si="4"/>
        <v>0.41729927426264135</v>
      </c>
      <c r="I60" s="32">
        <f>SUM(E60:F60)/SUM('County Totals'!$E59:$F59)</f>
        <v>0.24704025256511444</v>
      </c>
      <c r="J60">
        <f t="shared" si="5"/>
        <v>31</v>
      </c>
      <c r="K60" s="4">
        <v>1</v>
      </c>
      <c r="L60" s="4">
        <v>12</v>
      </c>
      <c r="M60" s="4">
        <v>40</v>
      </c>
      <c r="N60" s="3">
        <f t="shared" si="6"/>
        <v>0.020838915069295447</v>
      </c>
      <c r="O60" s="32">
        <f>SUM(K60:L60)/SUM('County Totals'!$E59:$F59)</f>
        <v>0.010260457774269928</v>
      </c>
      <c r="P60">
        <f t="shared" si="7"/>
        <v>23</v>
      </c>
      <c r="Q60" s="1"/>
      <c r="R60" s="1"/>
      <c r="Y60" s="38"/>
      <c r="Z60" s="38"/>
      <c r="AA60" s="1"/>
      <c r="AB60" s="1"/>
      <c r="AC60" s="1"/>
      <c r="AD60" s="1"/>
    </row>
    <row r="61" spans="1:30" ht="15">
      <c r="A61" t="s">
        <v>57</v>
      </c>
      <c r="B61" s="2">
        <f>VLOOKUP($A61,'County Totals'!$A:$D,2,FALSE)</f>
        <v>345.28899999999976</v>
      </c>
      <c r="C61" s="2">
        <f>VLOOKUP($A61,'County Totals'!$A:$D,3,FALSE)</f>
        <v>614.5977014846153</v>
      </c>
      <c r="D61" s="2">
        <f>VLOOKUP($A61,'County Totals'!$A:$D,4,FALSE)</f>
        <v>210756</v>
      </c>
      <c r="E61" s="4">
        <v>1</v>
      </c>
      <c r="F61" s="4">
        <v>29</v>
      </c>
      <c r="G61" s="4">
        <v>93</v>
      </c>
      <c r="H61" s="3">
        <f t="shared" si="4"/>
        <v>0.24179100053895994</v>
      </c>
      <c r="I61" s="32">
        <f>SUM(E61:F61)/SUM('County Totals'!$E60:$F60)</f>
        <v>0.6976744186046512</v>
      </c>
      <c r="J61">
        <f t="shared" si="5"/>
        <v>13</v>
      </c>
      <c r="K61" s="4">
        <v>0</v>
      </c>
      <c r="L61" s="4">
        <v>0</v>
      </c>
      <c r="M61" s="4">
        <v>2</v>
      </c>
      <c r="N61" s="3">
        <f t="shared" si="6"/>
        <v>0.0051998064632034395</v>
      </c>
      <c r="O61" s="32">
        <f>SUM(K61:L61)/SUM('County Totals'!$E60:$F60)</f>
        <v>0</v>
      </c>
      <c r="P61">
        <f t="shared" si="7"/>
        <v>2</v>
      </c>
      <c r="Q61" s="1"/>
      <c r="R61" s="1"/>
      <c r="Y61" s="38"/>
      <c r="Z61" s="38"/>
      <c r="AA61" s="1"/>
      <c r="AB61" s="1"/>
      <c r="AC61" s="1"/>
      <c r="AD61" s="1"/>
    </row>
    <row r="62" spans="1:30" ht="15">
      <c r="A62" t="s">
        <v>58</v>
      </c>
      <c r="B62" s="2">
        <f>VLOOKUP($A62,'County Totals'!$A:$D,2,FALSE)</f>
        <v>379.4699999999997</v>
      </c>
      <c r="C62" s="2">
        <f>VLOOKUP($A62,'County Totals'!$A:$D,3,FALSE)</f>
        <v>635.6978057307116</v>
      </c>
      <c r="D62" s="2">
        <f>VLOOKUP($A62,'County Totals'!$A:$D,4,FALSE)</f>
        <v>235301</v>
      </c>
      <c r="E62" s="4">
        <v>5</v>
      </c>
      <c r="F62" s="4">
        <v>123</v>
      </c>
      <c r="G62" s="4">
        <v>331</v>
      </c>
      <c r="H62" s="3">
        <f t="shared" si="4"/>
        <v>0.7707993719265902</v>
      </c>
      <c r="I62" s="32">
        <f>SUM(E62:F62)/SUM('County Totals'!$E61:$F61)</f>
        <v>0.6153846153846154</v>
      </c>
      <c r="J62">
        <f t="shared" si="5"/>
        <v>60</v>
      </c>
      <c r="K62" s="4">
        <v>1</v>
      </c>
      <c r="L62" s="4">
        <v>3</v>
      </c>
      <c r="M62" s="4">
        <v>12</v>
      </c>
      <c r="N62" s="3">
        <f t="shared" si="6"/>
        <v>0.02794438810609995</v>
      </c>
      <c r="O62" s="32">
        <f>SUM(K62:L62)/SUM('County Totals'!$E61:$F61)</f>
        <v>0.019230769230769232</v>
      </c>
      <c r="P62">
        <f t="shared" si="7"/>
        <v>31</v>
      </c>
      <c r="Q62" s="1"/>
      <c r="R62" s="1"/>
      <c r="Y62" s="38"/>
      <c r="Z62" s="38"/>
      <c r="AA62" s="1"/>
      <c r="AB62" s="1"/>
      <c r="AC62" s="1"/>
      <c r="AD62" s="1"/>
    </row>
    <row r="63" spans="1:30" ht="15">
      <c r="A63" t="s">
        <v>59</v>
      </c>
      <c r="B63" s="2">
        <f>VLOOKUP($A63,'County Totals'!$A:$D,2,FALSE)</f>
        <v>546.0919999999991</v>
      </c>
      <c r="C63" s="2">
        <f>VLOOKUP($A63,'County Totals'!$A:$D,3,FALSE)</f>
        <v>1820.7500062657964</v>
      </c>
      <c r="D63" s="2">
        <f>VLOOKUP($A63,'County Totals'!$A:$D,4,FALSE)</f>
        <v>944403</v>
      </c>
      <c r="E63" s="4">
        <v>5</v>
      </c>
      <c r="F63" s="4">
        <v>361</v>
      </c>
      <c r="G63" s="4">
        <v>1001</v>
      </c>
      <c r="H63" s="3">
        <f t="shared" si="4"/>
        <v>0.580782939788344</v>
      </c>
      <c r="I63" s="32">
        <f>SUM(E63:F63)/SUM('County Totals'!$E62:$F62)</f>
        <v>0.7379032258064516</v>
      </c>
      <c r="J63">
        <f t="shared" si="5"/>
        <v>45</v>
      </c>
      <c r="K63" s="4">
        <v>0</v>
      </c>
      <c r="L63" s="4">
        <v>23</v>
      </c>
      <c r="M63" s="4">
        <v>67</v>
      </c>
      <c r="N63" s="3">
        <f t="shared" si="6"/>
        <v>0.03887358338243661</v>
      </c>
      <c r="O63" s="32">
        <f>SUM(K63:L63)/SUM('County Totals'!$E62:$F62)</f>
        <v>0.046370967741935484</v>
      </c>
      <c r="P63">
        <f t="shared" si="7"/>
        <v>42</v>
      </c>
      <c r="Q63" s="1"/>
      <c r="R63" s="1"/>
      <c r="Y63" s="38"/>
      <c r="Z63" s="38"/>
      <c r="AA63" s="1"/>
      <c r="AB63" s="1"/>
      <c r="AC63" s="1"/>
      <c r="AD63" s="1"/>
    </row>
    <row r="64" spans="1:30" ht="15">
      <c r="A64" t="s">
        <v>60</v>
      </c>
      <c r="B64" s="2">
        <f>VLOOKUP($A64,'County Totals'!$A:$D,2,FALSE)</f>
        <v>268.68999999999994</v>
      </c>
      <c r="C64" s="2">
        <f>VLOOKUP($A64,'County Totals'!$A:$D,3,FALSE)</f>
        <v>292.69691216923013</v>
      </c>
      <c r="D64" s="2">
        <f>VLOOKUP($A64,'County Totals'!$A:$D,4,FALSE)</f>
        <v>75548</v>
      </c>
      <c r="E64" s="4">
        <v>1</v>
      </c>
      <c r="F64" s="4">
        <v>14</v>
      </c>
      <c r="G64" s="4">
        <v>26</v>
      </c>
      <c r="H64" s="3">
        <f t="shared" si="4"/>
        <v>0.18857647247400003</v>
      </c>
      <c r="I64" s="32">
        <f>SUM(E65:F65)/SUM('County Totals'!$E63:$F63)</f>
        <v>4.705882352941177</v>
      </c>
      <c r="J64">
        <f t="shared" si="5"/>
        <v>4</v>
      </c>
      <c r="K64" s="4">
        <v>0</v>
      </c>
      <c r="L64" s="4">
        <v>0</v>
      </c>
      <c r="M64" s="4">
        <v>2</v>
      </c>
      <c r="N64" s="3">
        <f t="shared" si="6"/>
        <v>0.014505882498000002</v>
      </c>
      <c r="O64" s="32">
        <f>SUM(K64:L64)/SUM('County Totals'!$E63:$F63)</f>
        <v>0</v>
      </c>
      <c r="P64">
        <f t="shared" si="7"/>
        <v>13</v>
      </c>
      <c r="Q64" s="1"/>
      <c r="R64" s="1"/>
      <c r="Y64" s="38"/>
      <c r="Z64" s="38"/>
      <c r="AA64" s="1"/>
      <c r="AB64" s="1"/>
      <c r="AC64" s="1"/>
      <c r="AD64" s="1"/>
    </row>
    <row r="65" spans="1:30" ht="15">
      <c r="A65" t="s">
        <v>61</v>
      </c>
      <c r="B65" s="2">
        <f>VLOOKUP($A65,'County Totals'!$A:$D,2,FALSE)</f>
        <v>165.336</v>
      </c>
      <c r="C65" s="2">
        <f>VLOOKUP($A65,'County Totals'!$A:$D,3,FALSE)</f>
        <v>3472.0475236477064</v>
      </c>
      <c r="D65" s="2">
        <f>VLOOKUP($A65,'County Totals'!$A:$D,4,FALSE)</f>
        <v>547653</v>
      </c>
      <c r="E65" s="4">
        <v>3</v>
      </c>
      <c r="F65" s="4">
        <v>77</v>
      </c>
      <c r="G65" s="4">
        <v>212</v>
      </c>
      <c r="H65" s="3">
        <f t="shared" si="4"/>
        <v>0.2121131146211996</v>
      </c>
      <c r="I65" s="32">
        <f>SUM(E66:F66)/SUM('County Totals'!$E64:$F64)</f>
        <v>0.4896551724137931</v>
      </c>
      <c r="J65">
        <f t="shared" si="5"/>
        <v>6</v>
      </c>
      <c r="K65" s="4">
        <v>0</v>
      </c>
      <c r="L65" s="4">
        <v>3</v>
      </c>
      <c r="M65" s="4">
        <v>10</v>
      </c>
      <c r="N65" s="3">
        <f t="shared" si="6"/>
        <v>0.010005335595339605</v>
      </c>
      <c r="O65" s="32">
        <f>SUM(K65:L65)/SUM('County Totals'!$E64:$F64)</f>
        <v>0.020689655172413793</v>
      </c>
      <c r="P65">
        <f t="shared" si="7"/>
        <v>4</v>
      </c>
      <c r="Q65" s="1"/>
      <c r="R65" s="1"/>
      <c r="Y65" s="38"/>
      <c r="Z65" s="38"/>
      <c r="AA65" s="1"/>
      <c r="AB65" s="1"/>
      <c r="AC65" s="1"/>
      <c r="AD65" s="1"/>
    </row>
    <row r="66" spans="1:30" ht="15">
      <c r="A66" t="s">
        <v>62</v>
      </c>
      <c r="B66" s="2">
        <f>VLOOKUP($A66,'County Totals'!$A:$D,2,FALSE)</f>
        <v>337.92999999999955</v>
      </c>
      <c r="C66" s="2">
        <f>VLOOKUP($A66,'County Totals'!$A:$D,3,FALSE)</f>
        <v>590.6857259932872</v>
      </c>
      <c r="D66" s="2">
        <f>VLOOKUP($A66,'County Totals'!$A:$D,4,FALSE)</f>
        <v>187398</v>
      </c>
      <c r="E66" s="4">
        <v>1</v>
      </c>
      <c r="F66" s="4">
        <v>70</v>
      </c>
      <c r="G66" s="4">
        <v>175</v>
      </c>
      <c r="H66" s="3">
        <f t="shared" si="4"/>
        <v>0.5116938865884594</v>
      </c>
      <c r="I66" s="32">
        <f>SUM(E67:F67)/SUM('County Totals'!$E65:$F65)</f>
        <v>1.76</v>
      </c>
      <c r="J66">
        <f t="shared" si="5"/>
        <v>38</v>
      </c>
      <c r="K66" s="4">
        <v>0</v>
      </c>
      <c r="L66" s="4">
        <v>4</v>
      </c>
      <c r="M66" s="4">
        <v>13</v>
      </c>
      <c r="N66" s="3">
        <f t="shared" si="6"/>
        <v>0.038011545860856984</v>
      </c>
      <c r="O66" s="32">
        <f>SUM(K66:L66)/SUM('County Totals'!$E65:$F65)</f>
        <v>0.04</v>
      </c>
      <c r="P66">
        <f t="shared" si="7"/>
        <v>39</v>
      </c>
      <c r="Q66" s="1"/>
      <c r="R66" s="1"/>
      <c r="Y66" s="38"/>
      <c r="Z66" s="38"/>
      <c r="AA66" s="1"/>
      <c r="AB66" s="1"/>
      <c r="AC66" s="1"/>
      <c r="AD66" s="1"/>
    </row>
    <row r="67" spans="1:30" ht="15">
      <c r="A67" t="s">
        <v>63</v>
      </c>
      <c r="B67" s="2">
        <f>VLOOKUP($A67,'County Totals'!$A:$D,2,FALSE)</f>
        <v>336.1090000000001</v>
      </c>
      <c r="C67" s="2">
        <f>VLOOKUP($A67,'County Totals'!$A:$D,3,FALSE)</f>
        <v>293.4908119164658</v>
      </c>
      <c r="D67" s="2">
        <f>VLOOKUP($A67,'County Totals'!$A:$D,4,FALSE)</f>
        <v>88960</v>
      </c>
      <c r="E67" s="4">
        <v>1</v>
      </c>
      <c r="F67" s="4">
        <v>175</v>
      </c>
      <c r="G67" s="4">
        <v>417</v>
      </c>
      <c r="H67" s="3">
        <f t="shared" si="4"/>
        <v>2.5684931506849313</v>
      </c>
      <c r="I67" s="32">
        <f>SUM(E68:F68)/SUM('County Totals'!$E66:$F66)</f>
        <v>0.6094420600858369</v>
      </c>
      <c r="J67">
        <f t="shared" si="5"/>
        <v>88</v>
      </c>
      <c r="K67" s="4">
        <v>1</v>
      </c>
      <c r="L67" s="4">
        <v>15</v>
      </c>
      <c r="M67" s="4">
        <v>24</v>
      </c>
      <c r="N67" s="3">
        <f t="shared" si="6"/>
        <v>0.14782694392431261</v>
      </c>
      <c r="O67" s="32">
        <f>SUM(K67:L67)/SUM('County Totals'!$E66:$F66)</f>
        <v>0.06866952789699571</v>
      </c>
      <c r="P67">
        <f t="shared" si="7"/>
        <v>78</v>
      </c>
      <c r="Q67" s="1"/>
      <c r="R67" s="1"/>
      <c r="Y67" s="38"/>
      <c r="Z67" s="38"/>
      <c r="AA67" s="1"/>
      <c r="AB67" s="1"/>
      <c r="AC67" s="1"/>
      <c r="AD67" s="1"/>
    </row>
    <row r="68" spans="1:30" ht="15">
      <c r="A68" t="s">
        <v>64</v>
      </c>
      <c r="B68" s="2">
        <f>VLOOKUP($A68,'County Totals'!$A:$D,2,FALSE)</f>
        <v>258.23999999999995</v>
      </c>
      <c r="C68" s="2">
        <f>VLOOKUP($A68,'County Totals'!$A:$D,3,FALSE)</f>
        <v>913.396340770484</v>
      </c>
      <c r="D68" s="2">
        <f>VLOOKUP($A68,'County Totals'!$A:$D,4,FALSE)</f>
        <v>192902</v>
      </c>
      <c r="E68" s="4">
        <v>11</v>
      </c>
      <c r="F68" s="4">
        <v>131</v>
      </c>
      <c r="G68" s="4">
        <v>342</v>
      </c>
      <c r="H68" s="3">
        <f aca="true" t="shared" si="8" ref="H68:H91">G68*1000000/(5*365*$B68*$D68/$B68)</f>
        <v>0.9714635424929373</v>
      </c>
      <c r="I68" s="32">
        <f>SUM(E69:F69)/SUM('County Totals'!$E67:$F67)</f>
        <v>0.8169642857142857</v>
      </c>
      <c r="J68">
        <f aca="true" t="shared" si="9" ref="J68:J91">_xlfn.RANK.AVG(H68,H$1:H$65536,1)</f>
        <v>65</v>
      </c>
      <c r="K68" s="4">
        <v>1</v>
      </c>
      <c r="L68" s="4">
        <v>4</v>
      </c>
      <c r="M68" s="4">
        <v>21</v>
      </c>
      <c r="N68" s="3">
        <f aca="true" t="shared" si="10" ref="N68:N91">M68*1000000/(5*365*$B68*$D68/$B68)</f>
        <v>0.0596512701530751</v>
      </c>
      <c r="O68" s="32">
        <f>SUM(K68:L68)/SUM('County Totals'!$E67:$F67)</f>
        <v>0.022321428571428572</v>
      </c>
      <c r="P68">
        <f aca="true" t="shared" si="11" ref="P68:P91">_xlfn.RANK.AVG(N68,N$1:N$65536,1)</f>
        <v>54</v>
      </c>
      <c r="Q68" s="1"/>
      <c r="R68" s="1"/>
      <c r="Y68" s="38"/>
      <c r="Z68" s="38"/>
      <c r="AA68" s="1"/>
      <c r="AB68" s="1"/>
      <c r="AC68" s="1"/>
      <c r="AD68" s="1"/>
    </row>
    <row r="69" spans="1:30" ht="15">
      <c r="A69" t="s">
        <v>65</v>
      </c>
      <c r="B69" s="2">
        <f>VLOOKUP($A69,'County Totals'!$A:$D,2,FALSE)</f>
        <v>355.03</v>
      </c>
      <c r="C69" s="2">
        <f>VLOOKUP($A69,'County Totals'!$A:$D,3,FALSE)</f>
        <v>440.7539461115788</v>
      </c>
      <c r="D69" s="2">
        <f>VLOOKUP($A69,'County Totals'!$A:$D,4,FALSE)</f>
        <v>139812</v>
      </c>
      <c r="E69" s="4">
        <v>7</v>
      </c>
      <c r="F69" s="4">
        <v>176</v>
      </c>
      <c r="G69" s="4">
        <v>463</v>
      </c>
      <c r="H69" s="3">
        <f t="shared" si="8"/>
        <v>1.8145697803978649</v>
      </c>
      <c r="I69" s="32">
        <f>SUM(E70:F70)/SUM('County Totals'!$E68:$F68)</f>
        <v>1.3396226415094339</v>
      </c>
      <c r="J69">
        <f t="shared" si="9"/>
        <v>80</v>
      </c>
      <c r="K69" s="4">
        <v>0</v>
      </c>
      <c r="L69" s="4">
        <v>30</v>
      </c>
      <c r="M69" s="4">
        <v>54</v>
      </c>
      <c r="N69" s="3">
        <f t="shared" si="10"/>
        <v>0.21163448842653282</v>
      </c>
      <c r="O69" s="32">
        <f>SUM(K69:L69)/SUM('County Totals'!$E68:$F68)</f>
        <v>0.11320754716981132</v>
      </c>
      <c r="P69">
        <f t="shared" si="11"/>
        <v>83</v>
      </c>
      <c r="Q69" s="1"/>
      <c r="R69" s="1"/>
      <c r="Y69" s="38"/>
      <c r="Z69" s="38"/>
      <c r="AA69" s="1"/>
      <c r="AB69" s="1"/>
      <c r="AC69" s="1"/>
      <c r="AD69" s="1"/>
    </row>
    <row r="70" spans="1:30" ht="15">
      <c r="A70" t="s">
        <v>66</v>
      </c>
      <c r="B70" s="2">
        <f>VLOOKUP($A70,'County Totals'!$A:$D,2,FALSE)</f>
        <v>376.62999999999937</v>
      </c>
      <c r="C70" s="2">
        <f>VLOOKUP($A70,'County Totals'!$A:$D,3,FALSE)</f>
        <v>6158.959992357024</v>
      </c>
      <c r="D70" s="2">
        <f>VLOOKUP($A70,'County Totals'!$A:$D,4,FALSE)</f>
        <v>2191863</v>
      </c>
      <c r="E70" s="4">
        <v>2</v>
      </c>
      <c r="F70" s="4">
        <v>353</v>
      </c>
      <c r="G70" s="4">
        <v>902</v>
      </c>
      <c r="H70" s="3">
        <f t="shared" si="8"/>
        <v>0.2254915454763668</v>
      </c>
      <c r="I70" s="32">
        <f>SUM(E71:F71)/SUM('County Totals'!$E69:$F69)</f>
        <v>0.18459302325581395</v>
      </c>
      <c r="J70">
        <f t="shared" si="9"/>
        <v>9</v>
      </c>
      <c r="K70" s="4">
        <v>1</v>
      </c>
      <c r="L70" s="4">
        <v>11</v>
      </c>
      <c r="M70" s="4">
        <v>49</v>
      </c>
      <c r="N70" s="3">
        <f t="shared" si="10"/>
        <v>0.012249540718782675</v>
      </c>
      <c r="O70" s="32">
        <f>SUM(K70:L70)/SUM('County Totals'!$E69:$F69)</f>
        <v>0.01744186046511628</v>
      </c>
      <c r="P70">
        <f t="shared" si="11"/>
        <v>8</v>
      </c>
      <c r="Q70" s="1"/>
      <c r="R70" s="1"/>
      <c r="Y70" s="38"/>
      <c r="Z70" s="38"/>
      <c r="AA70" s="1"/>
      <c r="AB70" s="1"/>
      <c r="AC70" s="1"/>
      <c r="AD70" s="1"/>
    </row>
    <row r="71" spans="1:30" ht="15">
      <c r="A71" t="s">
        <v>67</v>
      </c>
      <c r="B71" s="2">
        <f>VLOOKUP($A71,'County Totals'!$A:$D,2,FALSE)</f>
        <v>291.17600000000004</v>
      </c>
      <c r="C71" s="2">
        <f>VLOOKUP($A71,'County Totals'!$A:$D,3,FALSE)</f>
        <v>333.5426560979462</v>
      </c>
      <c r="D71" s="2">
        <f>VLOOKUP($A71,'County Totals'!$A:$D,4,FALSE)</f>
        <v>80203</v>
      </c>
      <c r="E71" s="4">
        <v>8</v>
      </c>
      <c r="F71" s="4">
        <v>119</v>
      </c>
      <c r="G71" s="4">
        <v>284</v>
      </c>
      <c r="H71" s="3">
        <f t="shared" si="8"/>
        <v>1.940282013841931</v>
      </c>
      <c r="I71" s="32">
        <f>SUM(E72:F72)/SUM('County Totals'!$E70:$F70)</f>
        <v>0.21844660194174756</v>
      </c>
      <c r="J71">
        <f t="shared" si="9"/>
        <v>82</v>
      </c>
      <c r="K71" s="4">
        <v>2</v>
      </c>
      <c r="L71" s="4">
        <v>19</v>
      </c>
      <c r="M71" s="4">
        <v>52</v>
      </c>
      <c r="N71" s="3">
        <f t="shared" si="10"/>
        <v>0.35526290394288873</v>
      </c>
      <c r="O71" s="32">
        <f>SUM(K71:L71)/SUM('County Totals'!$E70:$F70)</f>
        <v>0.10194174757281553</v>
      </c>
      <c r="P71">
        <f t="shared" si="11"/>
        <v>88</v>
      </c>
      <c r="Q71" s="1"/>
      <c r="R71" s="1"/>
      <c r="Y71" s="38"/>
      <c r="Z71" s="38"/>
      <c r="AA71" s="1"/>
      <c r="AB71" s="1"/>
      <c r="AC71" s="1"/>
      <c r="AD71" s="1"/>
    </row>
    <row r="72" spans="1:30" ht="15">
      <c r="A72" t="s">
        <v>68</v>
      </c>
      <c r="B72" s="2">
        <f>VLOOKUP($A72,'County Totals'!$A:$D,2,FALSE)</f>
        <v>338.4009999999998</v>
      </c>
      <c r="C72" s="2">
        <f>VLOOKUP($A72,'County Totals'!$A:$D,3,FALSE)</f>
        <v>881.4318376948704</v>
      </c>
      <c r="D72" s="2">
        <f>VLOOKUP($A72,'County Totals'!$A:$D,4,FALSE)</f>
        <v>280268</v>
      </c>
      <c r="E72" s="4">
        <v>0</v>
      </c>
      <c r="F72" s="4">
        <v>45</v>
      </c>
      <c r="G72" s="4">
        <v>125</v>
      </c>
      <c r="H72" s="3">
        <f t="shared" si="8"/>
        <v>0.24438448443964886</v>
      </c>
      <c r="I72" s="32">
        <f>SUM(E73:F73)/SUM('County Totals'!$E71:$F71)</f>
        <v>3.3013698630136985</v>
      </c>
      <c r="J72">
        <f t="shared" si="9"/>
        <v>14</v>
      </c>
      <c r="K72" s="4">
        <v>1</v>
      </c>
      <c r="L72" s="4">
        <v>2</v>
      </c>
      <c r="M72" s="4">
        <v>14</v>
      </c>
      <c r="N72" s="3">
        <f t="shared" si="10"/>
        <v>0.02737106225724067</v>
      </c>
      <c r="O72" s="32">
        <f>SUM(K72:L72)/SUM('County Totals'!$E71:$F71)</f>
        <v>0.0410958904109589</v>
      </c>
      <c r="P72">
        <f t="shared" si="11"/>
        <v>29</v>
      </c>
      <c r="Q72" s="1"/>
      <c r="R72" s="1"/>
      <c r="Y72" s="38"/>
      <c r="Z72" s="38"/>
      <c r="AA72" s="1"/>
      <c r="AB72" s="1"/>
      <c r="AC72" s="1"/>
      <c r="AD72" s="1"/>
    </row>
    <row r="73" spans="1:30" ht="15">
      <c r="A73" t="s">
        <v>69</v>
      </c>
      <c r="B73" s="2">
        <f>VLOOKUP($A73,'County Totals'!$A:$D,2,FALSE)</f>
        <v>360.74</v>
      </c>
      <c r="C73" s="2">
        <f>VLOOKUP($A73,'County Totals'!$A:$D,3,FALSE)</f>
        <v>2868.511061777541</v>
      </c>
      <c r="D73" s="2">
        <f>VLOOKUP($A73,'County Totals'!$A:$D,4,FALSE)</f>
        <v>936784</v>
      </c>
      <c r="E73" s="4">
        <v>3</v>
      </c>
      <c r="F73" s="4">
        <v>238</v>
      </c>
      <c r="G73" s="4">
        <v>678</v>
      </c>
      <c r="H73" s="3">
        <f t="shared" si="8"/>
        <v>0.39657685156350714</v>
      </c>
      <c r="I73" s="32">
        <f>SUM(E74:F74)/SUM('County Totals'!$E72:$F72)</f>
        <v>0.9548387096774194</v>
      </c>
      <c r="J73">
        <f t="shared" si="9"/>
        <v>27</v>
      </c>
      <c r="K73" s="4">
        <v>0</v>
      </c>
      <c r="L73" s="4">
        <v>10</v>
      </c>
      <c r="M73" s="4">
        <v>47</v>
      </c>
      <c r="N73" s="3">
        <f t="shared" si="10"/>
        <v>0.02749131566885669</v>
      </c>
      <c r="O73" s="32">
        <f>SUM(K73:L73)/SUM('County Totals'!$E72:$F72)</f>
        <v>0.021505376344086023</v>
      </c>
      <c r="P73">
        <f t="shared" si="11"/>
        <v>30</v>
      </c>
      <c r="Q73" s="1"/>
      <c r="R73" s="1"/>
      <c r="Y73" s="38"/>
      <c r="Z73" s="38"/>
      <c r="AA73" s="1"/>
      <c r="AB73" s="1"/>
      <c r="AC73" s="1"/>
      <c r="AD73" s="1"/>
    </row>
    <row r="74" spans="1:30" ht="15">
      <c r="A74" t="s">
        <v>70</v>
      </c>
      <c r="B74" s="2">
        <f>VLOOKUP($A74,'County Totals'!$A:$D,2,FALSE)</f>
        <v>457.32000000000016</v>
      </c>
      <c r="C74" s="2">
        <f>VLOOKUP($A74,'County Totals'!$A:$D,3,FALSE)</f>
        <v>770.5371858261226</v>
      </c>
      <c r="D74" s="2">
        <f>VLOOKUP($A74,'County Totals'!$A:$D,4,FALSE)</f>
        <v>299215</v>
      </c>
      <c r="E74" s="4">
        <v>11</v>
      </c>
      <c r="F74" s="4">
        <v>433</v>
      </c>
      <c r="G74" s="4">
        <v>1008</v>
      </c>
      <c r="H74" s="3">
        <f t="shared" si="8"/>
        <v>1.8459260636107404</v>
      </c>
      <c r="I74" s="32">
        <f>SUM(E75:F75)/SUM('County Totals'!$E73:$F73)</f>
        <v>0.23923444976076555</v>
      </c>
      <c r="J74">
        <f t="shared" si="9"/>
        <v>81</v>
      </c>
      <c r="K74" s="4">
        <v>3</v>
      </c>
      <c r="L74" s="4">
        <v>48</v>
      </c>
      <c r="M74" s="4">
        <v>156</v>
      </c>
      <c r="N74" s="3">
        <f t="shared" si="10"/>
        <v>0.2856790336540431</v>
      </c>
      <c r="O74" s="32">
        <f>SUM(K74:L74)/SUM('County Totals'!$E73:$F73)</f>
        <v>0.08133971291866028</v>
      </c>
      <c r="P74">
        <f t="shared" si="11"/>
        <v>87</v>
      </c>
      <c r="Q74" s="1"/>
      <c r="R74" s="1"/>
      <c r="Y74" s="38"/>
      <c r="Z74" s="38"/>
      <c r="AA74" s="1"/>
      <c r="AB74" s="1"/>
      <c r="AC74" s="1"/>
      <c r="AD74" s="1"/>
    </row>
    <row r="75" spans="1:30" ht="15">
      <c r="A75" t="s">
        <v>71</v>
      </c>
      <c r="B75" s="2">
        <f>VLOOKUP($A75,'County Totals'!$A:$D,2,FALSE)</f>
        <v>325.2519999999994</v>
      </c>
      <c r="C75" s="2">
        <f>VLOOKUP($A75,'County Totals'!$A:$D,3,FALSE)</f>
        <v>975.4681306116271</v>
      </c>
      <c r="D75" s="2">
        <f>VLOOKUP($A75,'County Totals'!$A:$D,4,FALSE)</f>
        <v>283234</v>
      </c>
      <c r="E75" s="4">
        <v>6</v>
      </c>
      <c r="F75" s="4">
        <v>144</v>
      </c>
      <c r="G75" s="4">
        <v>368</v>
      </c>
      <c r="H75" s="3">
        <f t="shared" si="8"/>
        <v>0.7119337212920708</v>
      </c>
      <c r="I75" s="32">
        <f>SUM(E76:F76)/SUM('County Totals'!$E74:$F74)</f>
        <v>1.558139534883721</v>
      </c>
      <c r="J75">
        <f t="shared" si="9"/>
        <v>56</v>
      </c>
      <c r="K75" s="4">
        <v>0</v>
      </c>
      <c r="L75" s="4">
        <v>3</v>
      </c>
      <c r="M75" s="4">
        <v>9</v>
      </c>
      <c r="N75" s="3">
        <f t="shared" si="10"/>
        <v>0.01741142253159956</v>
      </c>
      <c r="O75" s="32">
        <f>SUM(K75:L75)/SUM('County Totals'!$E74:$F74)</f>
        <v>0.011627906976744186</v>
      </c>
      <c r="P75">
        <f t="shared" si="11"/>
        <v>18</v>
      </c>
      <c r="Q75" s="1"/>
      <c r="R75" s="1"/>
      <c r="Y75" s="38"/>
      <c r="Z75" s="38"/>
      <c r="AA75" s="1"/>
      <c r="AB75" s="1"/>
      <c r="AC75" s="1"/>
      <c r="AD75" s="1"/>
    </row>
    <row r="76" spans="1:30" ht="15">
      <c r="A76" t="s">
        <v>72</v>
      </c>
      <c r="B76" s="2">
        <f>VLOOKUP($A76,'County Totals'!$A:$D,2,FALSE)</f>
        <v>418.70699999999977</v>
      </c>
      <c r="C76" s="2">
        <f>VLOOKUP($A76,'County Totals'!$A:$D,3,FALSE)</f>
        <v>792.0507253528077</v>
      </c>
      <c r="D76" s="2">
        <f>VLOOKUP($A76,'County Totals'!$A:$D,4,FALSE)</f>
        <v>321034</v>
      </c>
      <c r="E76" s="4">
        <v>12</v>
      </c>
      <c r="F76" s="4">
        <v>390</v>
      </c>
      <c r="G76" s="4">
        <v>970</v>
      </c>
      <c r="H76" s="3">
        <f t="shared" si="8"/>
        <v>1.6556092168277146</v>
      </c>
      <c r="I76" s="32">
        <f>SUM(E77:F77)/SUM('County Totals'!$E75:$F75)</f>
        <v>0.1913946587537092</v>
      </c>
      <c r="J76">
        <f t="shared" si="9"/>
        <v>78</v>
      </c>
      <c r="K76" s="4">
        <v>0</v>
      </c>
      <c r="L76" s="4">
        <v>26</v>
      </c>
      <c r="M76" s="4">
        <v>90</v>
      </c>
      <c r="N76" s="3">
        <f t="shared" si="10"/>
        <v>0.15361322630360238</v>
      </c>
      <c r="O76" s="32">
        <f>SUM(K76:L76)/SUM('County Totals'!$E75:$F75)</f>
        <v>0.03857566765578635</v>
      </c>
      <c r="P76">
        <f t="shared" si="11"/>
        <v>79</v>
      </c>
      <c r="Q76" s="1"/>
      <c r="R76" s="1"/>
      <c r="Y76" s="38"/>
      <c r="Z76" s="38"/>
      <c r="AA76" s="1"/>
      <c r="AB76" s="1"/>
      <c r="AC76" s="1"/>
      <c r="AD76" s="1"/>
    </row>
    <row r="77" spans="1:30" ht="15">
      <c r="A77" t="s">
        <v>73</v>
      </c>
      <c r="B77" s="2">
        <f>VLOOKUP($A77,'County Totals'!$A:$D,2,FALSE)</f>
        <v>397.922999999999</v>
      </c>
      <c r="C77" s="2">
        <f>VLOOKUP($A77,'County Totals'!$A:$D,3,FALSE)</f>
        <v>750.8919664719082</v>
      </c>
      <c r="D77" s="2">
        <f>VLOOKUP($A77,'County Totals'!$A:$D,4,FALSE)</f>
        <v>289803</v>
      </c>
      <c r="E77" s="4">
        <v>0</v>
      </c>
      <c r="F77" s="4">
        <v>129</v>
      </c>
      <c r="G77" s="4">
        <v>294</v>
      </c>
      <c r="H77" s="3">
        <f t="shared" si="8"/>
        <v>0.5558806858830272</v>
      </c>
      <c r="I77" s="32">
        <f>SUM(E78:F78)/SUM('County Totals'!$E76:$F76)</f>
        <v>0.828125</v>
      </c>
      <c r="J77">
        <f t="shared" si="9"/>
        <v>42</v>
      </c>
      <c r="K77" s="4">
        <v>0</v>
      </c>
      <c r="L77" s="4">
        <v>6</v>
      </c>
      <c r="M77" s="4">
        <v>24</v>
      </c>
      <c r="N77" s="3">
        <f t="shared" si="10"/>
        <v>0.04537801517412467</v>
      </c>
      <c r="O77" s="32">
        <f>SUM(K77:L77)/SUM('County Totals'!$E76:$F76)</f>
        <v>0.03125</v>
      </c>
      <c r="P77">
        <f t="shared" si="11"/>
        <v>47</v>
      </c>
      <c r="Q77" s="1"/>
      <c r="R77" s="1"/>
      <c r="Y77" s="38"/>
      <c r="Z77" s="38"/>
      <c r="AA77" s="1"/>
      <c r="AB77" s="1"/>
      <c r="AC77" s="1"/>
      <c r="AD77" s="1"/>
    </row>
    <row r="78" spans="1:30" ht="15">
      <c r="A78" t="s">
        <v>74</v>
      </c>
      <c r="B78" s="2">
        <f>VLOOKUP($A78,'County Totals'!$A:$D,2,FALSE)</f>
        <v>418.1529999999995</v>
      </c>
      <c r="C78" s="2">
        <f>VLOOKUP($A78,'County Totals'!$A:$D,3,FALSE)</f>
        <v>971.4711020965548</v>
      </c>
      <c r="D78" s="2">
        <f>VLOOKUP($A78,'County Totals'!$A:$D,4,FALSE)</f>
        <v>387003</v>
      </c>
      <c r="E78" s="4">
        <v>3</v>
      </c>
      <c r="F78" s="4">
        <v>156</v>
      </c>
      <c r="G78" s="4">
        <v>387</v>
      </c>
      <c r="H78" s="3">
        <f t="shared" si="8"/>
        <v>0.5479409578751275</v>
      </c>
      <c r="I78" s="32">
        <f>SUM(E79:F79)/SUM('County Totals'!$E77:$F77)</f>
        <v>2.087121212121212</v>
      </c>
      <c r="J78">
        <f t="shared" si="9"/>
        <v>41</v>
      </c>
      <c r="K78" s="4">
        <v>0</v>
      </c>
      <c r="L78" s="4">
        <v>14</v>
      </c>
      <c r="M78" s="4">
        <v>28</v>
      </c>
      <c r="N78" s="3">
        <f t="shared" si="10"/>
        <v>0.03964430702972499</v>
      </c>
      <c r="O78" s="32">
        <f>SUM(K78:L78)/SUM('County Totals'!$E77:$F77)</f>
        <v>0.05303030303030303</v>
      </c>
      <c r="P78">
        <f t="shared" si="11"/>
        <v>43</v>
      </c>
      <c r="Q78" s="1"/>
      <c r="R78" s="1"/>
      <c r="Z78" s="38"/>
      <c r="AA78" s="1"/>
      <c r="AB78" s="1"/>
      <c r="AC78" s="1"/>
      <c r="AD78" s="1"/>
    </row>
    <row r="79" spans="1:30" ht="15">
      <c r="A79" t="s">
        <v>75</v>
      </c>
      <c r="B79" s="2">
        <f>VLOOKUP($A79,'County Totals'!$A:$D,2,FALSE)</f>
        <v>420.9699999999995</v>
      </c>
      <c r="C79" s="2">
        <f>VLOOKUP($A79,'County Totals'!$A:$D,3,FALSE)</f>
        <v>5959.840774096216</v>
      </c>
      <c r="D79" s="2">
        <f>VLOOKUP($A79,'County Totals'!$A:$D,4,FALSE)</f>
        <v>2196398</v>
      </c>
      <c r="E79" s="4">
        <v>23</v>
      </c>
      <c r="F79" s="4">
        <v>528</v>
      </c>
      <c r="G79" s="4">
        <v>1596</v>
      </c>
      <c r="H79" s="3">
        <f t="shared" si="8"/>
        <v>0.39816123851196616</v>
      </c>
      <c r="I79" s="32">
        <f>SUM(E80:F80)/SUM('County Totals'!$E78:$F78)</f>
        <v>0.08034934497816594</v>
      </c>
      <c r="J79">
        <f t="shared" si="9"/>
        <v>28</v>
      </c>
      <c r="K79" s="4">
        <v>3</v>
      </c>
      <c r="L79" s="4">
        <v>40</v>
      </c>
      <c r="M79" s="4">
        <v>105</v>
      </c>
      <c r="N79" s="3">
        <f t="shared" si="10"/>
        <v>0.02619481832315567</v>
      </c>
      <c r="O79" s="32">
        <f>SUM(K79:L79)/SUM('County Totals'!$E78:$F78)</f>
        <v>0.018777292576419215</v>
      </c>
      <c r="P79">
        <f t="shared" si="11"/>
        <v>27</v>
      </c>
      <c r="Q79" s="1"/>
      <c r="R79" s="1"/>
      <c r="Z79" s="38"/>
      <c r="AA79" s="1"/>
      <c r="AB79" s="1"/>
      <c r="AC79" s="1"/>
      <c r="AD79" s="1"/>
    </row>
    <row r="80" spans="1:30" ht="15">
      <c r="A80" t="s">
        <v>76</v>
      </c>
      <c r="B80" s="2">
        <f>VLOOKUP($A80,'County Totals'!$A:$D,2,FALSE)</f>
        <v>198.27000000000024</v>
      </c>
      <c r="C80" s="2">
        <f>VLOOKUP($A80,'County Totals'!$A:$D,3,FALSE)</f>
        <v>8856.096007556946</v>
      </c>
      <c r="D80" s="2">
        <f>VLOOKUP($A80,'County Totals'!$A:$D,4,FALSE)</f>
        <v>1237542</v>
      </c>
      <c r="E80" s="4">
        <v>7</v>
      </c>
      <c r="F80" s="4">
        <v>177</v>
      </c>
      <c r="G80" s="4">
        <v>481</v>
      </c>
      <c r="H80" s="3">
        <f t="shared" si="8"/>
        <v>0.21297187799332587</v>
      </c>
      <c r="I80" s="32">
        <f>SUM(E81:F81)/SUM('County Totals'!$E79:$F79)</f>
        <v>0.5537790697674418</v>
      </c>
      <c r="J80">
        <f t="shared" si="9"/>
        <v>7</v>
      </c>
      <c r="K80" s="4">
        <v>0</v>
      </c>
      <c r="L80" s="4">
        <v>10</v>
      </c>
      <c r="M80" s="4">
        <v>31</v>
      </c>
      <c r="N80" s="3">
        <f t="shared" si="10"/>
        <v>0.01372583829063015</v>
      </c>
      <c r="O80" s="32">
        <f>SUM(K80:L80)/SUM('County Totals'!$E79:$F79)</f>
        <v>0.014534883720930232</v>
      </c>
      <c r="P80">
        <f t="shared" si="11"/>
        <v>11</v>
      </c>
      <c r="Q80" s="1"/>
      <c r="R80" s="1"/>
      <c r="Z80" s="38"/>
      <c r="AA80" s="1"/>
      <c r="AB80" s="1"/>
      <c r="AC80" s="1"/>
      <c r="AD80" s="1"/>
    </row>
    <row r="81" spans="1:30" ht="15">
      <c r="A81" t="s">
        <v>77</v>
      </c>
      <c r="B81" s="2">
        <f>VLOOKUP($A81,'County Totals'!$A:$D,2,FALSE)</f>
        <v>467.90999999999855</v>
      </c>
      <c r="C81" s="2">
        <f>VLOOKUP($A81,'County Totals'!$A:$D,3,FALSE)</f>
        <v>2153.379663017113</v>
      </c>
      <c r="D81" s="2">
        <f>VLOOKUP($A81,'County Totals'!$A:$D,4,FALSE)</f>
        <v>853983</v>
      </c>
      <c r="E81" s="4">
        <v>10</v>
      </c>
      <c r="F81" s="4">
        <v>371</v>
      </c>
      <c r="G81" s="4">
        <v>930</v>
      </c>
      <c r="H81" s="3">
        <f t="shared" si="8"/>
        <v>0.5967203575432888</v>
      </c>
      <c r="I81" s="32">
        <f>SUM(E82:F82)/SUM('County Totals'!$E80:$F80)</f>
        <v>0.4337748344370861</v>
      </c>
      <c r="J81">
        <f t="shared" si="9"/>
        <v>47</v>
      </c>
      <c r="K81" s="4">
        <v>5</v>
      </c>
      <c r="L81" s="4">
        <v>20</v>
      </c>
      <c r="M81" s="4">
        <v>63</v>
      </c>
      <c r="N81" s="3">
        <f t="shared" si="10"/>
        <v>0.040422991962609886</v>
      </c>
      <c r="O81" s="32">
        <f>SUM(K81:L81)/SUM('County Totals'!$E80:$F80)</f>
        <v>0.02759381898454746</v>
      </c>
      <c r="P81">
        <f t="shared" si="11"/>
        <v>44</v>
      </c>
      <c r="Q81" s="1"/>
      <c r="R81" s="1"/>
      <c r="Z81" s="38"/>
      <c r="AA81" s="1"/>
      <c r="AB81" s="1"/>
      <c r="AC81" s="1"/>
      <c r="AD81" s="1"/>
    </row>
    <row r="82" spans="1:30" ht="15">
      <c r="A82" t="s">
        <v>78</v>
      </c>
      <c r="B82" s="2">
        <f>VLOOKUP($A82,'County Totals'!$A:$D,2,FALSE)</f>
        <v>475.5799999999995</v>
      </c>
      <c r="C82" s="2">
        <f>VLOOKUP($A82,'County Totals'!$A:$D,3,FALSE)</f>
        <v>673.9198290871007</v>
      </c>
      <c r="D82" s="2">
        <f>VLOOKUP($A82,'County Totals'!$A:$D,4,FALSE)</f>
        <v>291471</v>
      </c>
      <c r="E82" s="4">
        <v>7</v>
      </c>
      <c r="F82" s="4">
        <v>386</v>
      </c>
      <c r="G82" s="4">
        <v>1034</v>
      </c>
      <c r="H82" s="3">
        <f t="shared" si="8"/>
        <v>1.943848075677352</v>
      </c>
      <c r="I82" s="32">
        <f>SUM(E83:F83)/SUM('County Totals'!$E81:$F81)</f>
        <v>0.24478178368121442</v>
      </c>
      <c r="J82">
        <f t="shared" si="9"/>
        <v>83</v>
      </c>
      <c r="K82" s="4">
        <v>2</v>
      </c>
      <c r="L82" s="4">
        <v>40</v>
      </c>
      <c r="M82" s="4">
        <v>121</v>
      </c>
      <c r="N82" s="3">
        <f t="shared" si="10"/>
        <v>0.22747158332394543</v>
      </c>
      <c r="O82" s="32">
        <f>SUM(K82:L82)/SUM('County Totals'!$E81:$F81)</f>
        <v>0.07969639468690702</v>
      </c>
      <c r="P82">
        <f t="shared" si="11"/>
        <v>85</v>
      </c>
      <c r="Q82" s="1"/>
      <c r="R82" s="1"/>
      <c r="Z82" s="38"/>
      <c r="AA82" s="1"/>
      <c r="AB82" s="1"/>
      <c r="AC82" s="1"/>
      <c r="AD82" s="1"/>
    </row>
    <row r="83" spans="1:30" ht="15">
      <c r="A83" t="s">
        <v>79</v>
      </c>
      <c r="B83" s="2">
        <f>VLOOKUP($A83,'County Totals'!$A:$D,2,FALSE)</f>
        <v>466.4499999999996</v>
      </c>
      <c r="C83" s="2">
        <f>VLOOKUP($A83,'County Totals'!$A:$D,3,FALSE)</f>
        <v>852.7784093542986</v>
      </c>
      <c r="D83" s="2">
        <f>VLOOKUP($A83,'County Totals'!$A:$D,4,FALSE)</f>
        <v>386318</v>
      </c>
      <c r="E83" s="4">
        <v>9</v>
      </c>
      <c r="F83" s="4">
        <v>120</v>
      </c>
      <c r="G83" s="4">
        <v>331</v>
      </c>
      <c r="H83" s="3">
        <f t="shared" si="8"/>
        <v>0.46948333500820205</v>
      </c>
      <c r="I83" s="32">
        <f>SUM(E84:F84)/SUM('County Totals'!$E82:$F82)</f>
        <v>0.22784810126582278</v>
      </c>
      <c r="J83">
        <f t="shared" si="9"/>
        <v>37</v>
      </c>
      <c r="K83" s="4">
        <v>0</v>
      </c>
      <c r="L83" s="4">
        <v>8</v>
      </c>
      <c r="M83" s="4">
        <v>19</v>
      </c>
      <c r="N83" s="3">
        <f t="shared" si="10"/>
        <v>0.026949194456664168</v>
      </c>
      <c r="O83" s="32">
        <f>SUM(K83:L83)/SUM('County Totals'!$E82:$F82)</f>
        <v>0.03375527426160337</v>
      </c>
      <c r="P83">
        <f t="shared" si="11"/>
        <v>28</v>
      </c>
      <c r="Q83" s="1"/>
      <c r="R83" s="1"/>
      <c r="Z83" s="38"/>
      <c r="AA83" s="1"/>
      <c r="AB83" s="1"/>
      <c r="AC83" s="1"/>
      <c r="AD83" s="1"/>
    </row>
    <row r="84" spans="1:30" ht="15">
      <c r="A84" t="s">
        <v>80</v>
      </c>
      <c r="B84" s="2">
        <f>VLOOKUP($A84,'County Totals'!$A:$D,2,FALSE)</f>
        <v>275.1689999999996</v>
      </c>
      <c r="C84" s="2">
        <f>VLOOKUP($A84,'County Totals'!$A:$D,3,FALSE)</f>
        <v>1166.5358558347496</v>
      </c>
      <c r="D84" s="2">
        <f>VLOOKUP($A84,'County Totals'!$A:$D,4,FALSE)</f>
        <v>298744</v>
      </c>
      <c r="E84" s="4">
        <v>0</v>
      </c>
      <c r="F84" s="4">
        <v>54</v>
      </c>
      <c r="G84" s="4">
        <v>135</v>
      </c>
      <c r="H84" s="3">
        <f t="shared" si="8"/>
        <v>0.24761201142023279</v>
      </c>
      <c r="I84" s="32">
        <f>SUM(E85:F85)/SUM('County Totals'!$E83:$F83)</f>
        <v>0.6213592233009708</v>
      </c>
      <c r="J84">
        <f t="shared" si="9"/>
        <v>15</v>
      </c>
      <c r="K84" s="4">
        <v>0</v>
      </c>
      <c r="L84" s="4">
        <v>5</v>
      </c>
      <c r="M84" s="4">
        <v>9</v>
      </c>
      <c r="N84" s="3">
        <f t="shared" si="10"/>
        <v>0.01650746742801552</v>
      </c>
      <c r="O84" s="32">
        <f>SUM(K84:L84)/SUM('County Totals'!$E83:$F83)</f>
        <v>0.04854368932038835</v>
      </c>
      <c r="P84">
        <f t="shared" si="11"/>
        <v>17</v>
      </c>
      <c r="Q84" s="1"/>
      <c r="R84" s="1"/>
      <c r="Z84" s="38"/>
      <c r="AA84" s="1"/>
      <c r="AB84" s="1"/>
      <c r="AC84" s="1"/>
      <c r="AD84" s="1"/>
    </row>
    <row r="85" spans="1:30" ht="15">
      <c r="A85" t="s">
        <v>81</v>
      </c>
      <c r="B85" s="2">
        <f>VLOOKUP($A85,'County Totals'!$A:$D,2,FALSE)</f>
        <v>198.83000000000004</v>
      </c>
      <c r="C85" s="2">
        <f>VLOOKUP($A85,'County Totals'!$A:$D,3,FALSE)</f>
        <v>194.80254910154613</v>
      </c>
      <c r="D85" s="2">
        <f>VLOOKUP($A85,'County Totals'!$A:$D,4,FALSE)</f>
        <v>37293</v>
      </c>
      <c r="E85" s="4">
        <v>3</v>
      </c>
      <c r="F85" s="4">
        <v>61</v>
      </c>
      <c r="G85" s="4">
        <v>147</v>
      </c>
      <c r="H85" s="3">
        <f t="shared" si="8"/>
        <v>2.1598676750457044</v>
      </c>
      <c r="I85" s="32">
        <f>SUM(E86:F86)/SUM('County Totals'!$E84:$F84)</f>
        <v>4.269230769230769</v>
      </c>
      <c r="J85">
        <f t="shared" si="9"/>
        <v>86</v>
      </c>
      <c r="K85" s="4">
        <v>0</v>
      </c>
      <c r="L85" s="4">
        <v>2</v>
      </c>
      <c r="M85" s="4">
        <v>6</v>
      </c>
      <c r="N85" s="3">
        <f t="shared" si="10"/>
        <v>0.08815786428757977</v>
      </c>
      <c r="O85" s="32">
        <f>SUM(K85:L85)/SUM('County Totals'!$E84:$F84)</f>
        <v>0.02564102564102564</v>
      </c>
      <c r="P85">
        <f t="shared" si="11"/>
        <v>65</v>
      </c>
      <c r="Q85" s="1"/>
      <c r="R85" s="1"/>
      <c r="Z85" s="38"/>
      <c r="AA85" s="1"/>
      <c r="AB85" s="1"/>
      <c r="AC85" s="1"/>
      <c r="AD85" s="1"/>
    </row>
    <row r="86" spans="1:30" ht="15">
      <c r="A86" t="s">
        <v>82</v>
      </c>
      <c r="B86" s="2">
        <f>VLOOKUP($A86,'County Totals'!$A:$D,2,FALSE)</f>
        <v>273.74999999999966</v>
      </c>
      <c r="C86" s="2">
        <f>VLOOKUP($A86,'County Totals'!$A:$D,3,FALSE)</f>
        <v>5986.866587324206</v>
      </c>
      <c r="D86" s="2">
        <f>VLOOKUP($A86,'County Totals'!$A:$D,4,FALSE)</f>
        <v>1428634</v>
      </c>
      <c r="E86" s="4">
        <v>8</v>
      </c>
      <c r="F86" s="4">
        <v>325</v>
      </c>
      <c r="G86" s="4">
        <v>910</v>
      </c>
      <c r="H86" s="3">
        <f t="shared" si="8"/>
        <v>0.34902580855999604</v>
      </c>
      <c r="I86" s="32">
        <f>SUM(E87:F87)/SUM('County Totals'!$E85:$F85)</f>
        <v>0.15680473372781065</v>
      </c>
      <c r="J86">
        <f t="shared" si="9"/>
        <v>22</v>
      </c>
      <c r="K86" s="4">
        <v>0</v>
      </c>
      <c r="L86" s="4">
        <v>40</v>
      </c>
      <c r="M86" s="4">
        <v>144</v>
      </c>
      <c r="N86" s="3">
        <f t="shared" si="10"/>
        <v>0.055230457618285086</v>
      </c>
      <c r="O86" s="32">
        <f>SUM(K86:L86)/SUM('County Totals'!$E85:$F85)</f>
        <v>0.03944773175542406</v>
      </c>
      <c r="P86">
        <f t="shared" si="11"/>
        <v>52</v>
      </c>
      <c r="Q86" s="1"/>
      <c r="R86" s="1"/>
      <c r="Z86" s="38"/>
      <c r="AA86" s="1"/>
      <c r="AB86" s="1"/>
      <c r="AC86" s="1"/>
      <c r="AD86" s="1"/>
    </row>
    <row r="87" spans="1:30" ht="15">
      <c r="A87" t="s">
        <v>83</v>
      </c>
      <c r="B87" s="2">
        <f>VLOOKUP($A87,'County Totals'!$A:$D,2,FALSE)</f>
        <v>341.60899999999947</v>
      </c>
      <c r="C87" s="2">
        <f>VLOOKUP($A87,'County Totals'!$A:$D,3,FALSE)</f>
        <v>1210.0448569866019</v>
      </c>
      <c r="D87" s="2">
        <f>VLOOKUP($A87,'County Totals'!$A:$D,4,FALSE)</f>
        <v>404904</v>
      </c>
      <c r="E87" s="4">
        <v>3</v>
      </c>
      <c r="F87" s="4">
        <v>156</v>
      </c>
      <c r="G87" s="4">
        <v>437</v>
      </c>
      <c r="H87" s="3">
        <f t="shared" si="8"/>
        <v>0.5913798203883404</v>
      </c>
      <c r="I87" s="32">
        <f>SUM(E88:F88)/SUM('County Totals'!$E86:$F86)</f>
        <v>1.9367088607594938</v>
      </c>
      <c r="J87">
        <f t="shared" si="9"/>
        <v>46</v>
      </c>
      <c r="K87" s="4">
        <v>0</v>
      </c>
      <c r="L87" s="4">
        <v>22</v>
      </c>
      <c r="M87" s="4">
        <v>72</v>
      </c>
      <c r="N87" s="3">
        <f t="shared" si="10"/>
        <v>0.09743557681455495</v>
      </c>
      <c r="O87" s="32">
        <f>SUM(K87:L87)/SUM('County Totals'!$E86:$F86)</f>
        <v>0.09282700421940929</v>
      </c>
      <c r="P87">
        <f t="shared" si="11"/>
        <v>69</v>
      </c>
      <c r="Q87" s="1"/>
      <c r="R87" s="1"/>
      <c r="Z87" s="38"/>
      <c r="AA87" s="1"/>
      <c r="AB87" s="1"/>
      <c r="AC87" s="1"/>
      <c r="AD87" s="1"/>
    </row>
    <row r="88" spans="1:30" ht="15">
      <c r="A88" t="s">
        <v>84</v>
      </c>
      <c r="B88" s="2">
        <f>VLOOKUP($A88,'County Totals'!$A:$D,2,FALSE)</f>
        <v>521.5439999999983</v>
      </c>
      <c r="C88" s="2">
        <f>VLOOKUP($A88,'County Totals'!$A:$D,3,FALSE)</f>
        <v>2295.9690961965975</v>
      </c>
      <c r="D88" s="2">
        <f>VLOOKUP($A88,'County Totals'!$A:$D,4,FALSE)</f>
        <v>1106090</v>
      </c>
      <c r="E88" s="4">
        <v>9</v>
      </c>
      <c r="F88" s="4">
        <v>450</v>
      </c>
      <c r="G88" s="4">
        <v>1148</v>
      </c>
      <c r="H88" s="3">
        <f t="shared" si="8"/>
        <v>0.5687069731128669</v>
      </c>
      <c r="I88" s="32">
        <f>SUM(E89:F89)/SUM('County Totals'!$E87:$F87)</f>
        <v>0.11228070175438597</v>
      </c>
      <c r="J88">
        <f t="shared" si="9"/>
        <v>43</v>
      </c>
      <c r="K88" s="4">
        <v>0</v>
      </c>
      <c r="L88" s="4">
        <v>22</v>
      </c>
      <c r="M88" s="4">
        <v>62</v>
      </c>
      <c r="N88" s="3">
        <f t="shared" si="10"/>
        <v>0.030714139662890026</v>
      </c>
      <c r="O88" s="32">
        <f>SUM(K88:L88)/SUM('County Totals'!$E87:$F87)</f>
        <v>0.025730994152046785</v>
      </c>
      <c r="P88">
        <f t="shared" si="11"/>
        <v>32</v>
      </c>
      <c r="Q88" s="1"/>
      <c r="R88" s="1"/>
      <c r="Z88" s="38"/>
      <c r="AA88" s="1"/>
      <c r="AB88" s="1"/>
      <c r="AC88" s="1"/>
      <c r="AD88" s="1"/>
    </row>
    <row r="89" spans="1:30" ht="15">
      <c r="A89" t="s">
        <v>85</v>
      </c>
      <c r="B89" s="2">
        <f>VLOOKUP($A89,'County Totals'!$A:$D,2,FALSE)</f>
        <v>408.7499999999999</v>
      </c>
      <c r="C89" s="2">
        <f>VLOOKUP($A89,'County Totals'!$A:$D,3,FALSE)</f>
        <v>863.3237399262753</v>
      </c>
      <c r="D89" s="2">
        <f>VLOOKUP($A89,'County Totals'!$A:$D,4,FALSE)</f>
        <v>333268</v>
      </c>
      <c r="E89" s="4">
        <v>3</v>
      </c>
      <c r="F89" s="4">
        <v>93</v>
      </c>
      <c r="G89" s="4">
        <v>279</v>
      </c>
      <c r="H89" s="3">
        <f t="shared" si="8"/>
        <v>0.45872004611533995</v>
      </c>
      <c r="I89" s="32">
        <f>SUM(E90:F90)/SUM('County Totals'!$E88:$F88)</f>
        <v>0.7151898734177216</v>
      </c>
      <c r="J89">
        <f t="shared" si="9"/>
        <v>35</v>
      </c>
      <c r="K89" s="4">
        <v>0</v>
      </c>
      <c r="L89" s="4">
        <v>3</v>
      </c>
      <c r="M89" s="4">
        <v>11</v>
      </c>
      <c r="N89" s="3">
        <f t="shared" si="10"/>
        <v>0.018085736585192615</v>
      </c>
      <c r="O89" s="32">
        <f>SUM(K89:L89)/SUM('County Totals'!$E88:$F88)</f>
        <v>0.0189873417721519</v>
      </c>
      <c r="P89">
        <f t="shared" si="11"/>
        <v>19</v>
      </c>
      <c r="Q89" s="1"/>
      <c r="R89" s="1"/>
      <c r="Z89" s="38"/>
      <c r="AA89" s="1"/>
      <c r="AB89" s="1"/>
      <c r="AC89" s="1"/>
      <c r="AD89" s="1"/>
    </row>
    <row r="90" spans="1:30" ht="15">
      <c r="A90" t="s">
        <v>86</v>
      </c>
      <c r="B90" s="2">
        <f>VLOOKUP($A90,'County Totals'!$A:$D,2,FALSE)</f>
        <v>254.06999999999974</v>
      </c>
      <c r="C90" s="2">
        <f>VLOOKUP($A90,'County Totals'!$A:$D,3,FALSE)</f>
        <v>2660.9407099410582</v>
      </c>
      <c r="D90" s="2">
        <f>VLOOKUP($A90,'County Totals'!$A:$D,4,FALSE)</f>
        <v>594526</v>
      </c>
      <c r="E90" s="4">
        <v>5</v>
      </c>
      <c r="F90" s="4">
        <v>108</v>
      </c>
      <c r="G90" s="4">
        <v>262</v>
      </c>
      <c r="H90" s="3">
        <f t="shared" si="8"/>
        <v>0.24147243995320042</v>
      </c>
      <c r="I90" s="32">
        <f>SUM(E91:F91)/SUM('County Totals'!$E89:$F89)</f>
        <v>0.1422924901185771</v>
      </c>
      <c r="J90">
        <f t="shared" si="9"/>
        <v>12</v>
      </c>
      <c r="K90" s="4">
        <v>0</v>
      </c>
      <c r="L90" s="4">
        <v>2</v>
      </c>
      <c r="M90" s="4">
        <v>12</v>
      </c>
      <c r="N90" s="3">
        <f t="shared" si="10"/>
        <v>0.011059806410070249</v>
      </c>
      <c r="O90" s="32">
        <f>SUM(K90:L90)/SUM('County Totals'!$E89:$F89)</f>
        <v>0.007905138339920948</v>
      </c>
      <c r="P90">
        <f t="shared" si="11"/>
        <v>6</v>
      </c>
      <c r="Q90" s="1"/>
      <c r="R90" s="1"/>
      <c r="Z90" s="38"/>
      <c r="AA90" s="1"/>
      <c r="AB90" s="1"/>
      <c r="AC90" s="1"/>
      <c r="AD90" s="1"/>
    </row>
    <row r="91" spans="1:30" ht="15">
      <c r="A91" t="s">
        <v>87</v>
      </c>
      <c r="B91" s="2">
        <f>VLOOKUP($A91,'County Totals'!$A:$D,2,FALSE)</f>
        <v>347.6099999999994</v>
      </c>
      <c r="C91" s="2">
        <f>VLOOKUP($A91,'County Totals'!$A:$D,3,FALSE)</f>
        <v>505.34056511048595</v>
      </c>
      <c r="D91" s="2">
        <f>VLOOKUP($A91,'County Totals'!$A:$D,4,FALSE)</f>
        <v>154756</v>
      </c>
      <c r="E91" s="4">
        <v>1</v>
      </c>
      <c r="F91" s="4">
        <v>35</v>
      </c>
      <c r="G91" s="4">
        <v>79</v>
      </c>
      <c r="H91" s="3">
        <f t="shared" si="8"/>
        <v>0.27971562480858075</v>
      </c>
      <c r="I91" s="32">
        <f>SUM(E92:F92)/SUM('County Totals'!$E90:$F90)</f>
        <v>0</v>
      </c>
      <c r="J91">
        <f t="shared" si="9"/>
        <v>18</v>
      </c>
      <c r="K91" s="4">
        <v>0</v>
      </c>
      <c r="L91" s="4">
        <v>3</v>
      </c>
      <c r="M91" s="4">
        <v>12</v>
      </c>
      <c r="N91" s="3">
        <f t="shared" si="10"/>
        <v>0.04248844933801226</v>
      </c>
      <c r="O91" s="32">
        <f>SUM(K91:L91)/SUM('County Totals'!$E90:$F90)</f>
        <v>0.05357142857142857</v>
      </c>
      <c r="P91">
        <f t="shared" si="11"/>
        <v>45</v>
      </c>
      <c r="Q91" s="1"/>
      <c r="R91" s="1"/>
      <c r="Z91" s="38"/>
      <c r="AA91" s="1"/>
      <c r="AB91" s="1"/>
      <c r="AC91" s="1"/>
      <c r="AD91" s="1"/>
    </row>
    <row r="92" spans="5:7" ht="15">
      <c r="E92" s="4"/>
      <c r="F92" s="4"/>
      <c r="G92" s="4"/>
    </row>
  </sheetData>
  <sheetProtection/>
  <autoFilter ref="A3:P91">
    <sortState ref="A4:P92">
      <sortCondition sortBy="value" ref="A4:A92"/>
    </sortState>
  </autoFilter>
  <mergeCells count="4">
    <mergeCell ref="E2:J2"/>
    <mergeCell ref="K2:P2"/>
    <mergeCell ref="E1:J1"/>
    <mergeCell ref="K1:P1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92"/>
  <sheetViews>
    <sheetView zoomScalePageLayoutView="0" workbookViewId="0" topLeftCell="A1">
      <selection activeCell="E4" sqref="E4:G91"/>
    </sheetView>
  </sheetViews>
  <sheetFormatPr defaultColWidth="9.140625" defaultRowHeight="15"/>
  <cols>
    <col min="2" max="2" width="9.28125" style="0" bestFit="1" customWidth="1"/>
    <col min="3" max="3" width="10.57421875" style="0" bestFit="1" customWidth="1"/>
    <col min="4" max="4" width="13.8515625" style="0" bestFit="1" customWidth="1"/>
    <col min="5" max="6" width="9.28125" style="4" bestFit="1" customWidth="1"/>
    <col min="7" max="7" width="11.7109375" style="0" customWidth="1"/>
    <col min="8" max="8" width="9.28125" style="4" bestFit="1" customWidth="1"/>
    <col min="9" max="10" width="9.28125" style="4" customWidth="1"/>
  </cols>
  <sheetData>
    <row r="1" spans="5:10" ht="15" customHeight="1">
      <c r="E1" s="147" t="s">
        <v>95</v>
      </c>
      <c r="F1" s="147"/>
      <c r="G1" s="147"/>
      <c r="H1" s="147"/>
      <c r="I1" s="147"/>
      <c r="J1" s="147"/>
    </row>
    <row r="2" spans="5:10" ht="33" customHeight="1">
      <c r="E2" s="148" t="s">
        <v>189</v>
      </c>
      <c r="F2" s="148"/>
      <c r="G2" s="148"/>
      <c r="H2" s="148"/>
      <c r="I2" s="148"/>
      <c r="J2" s="148"/>
    </row>
    <row r="3" spans="1:10" ht="105">
      <c r="A3" s="5" t="s">
        <v>88</v>
      </c>
      <c r="B3" s="5" t="s">
        <v>175</v>
      </c>
      <c r="C3" s="5" t="s">
        <v>90</v>
      </c>
      <c r="D3" s="5" t="s">
        <v>89</v>
      </c>
      <c r="E3" s="6" t="s">
        <v>93</v>
      </c>
      <c r="F3" s="6" t="s">
        <v>94</v>
      </c>
      <c r="G3" s="6" t="s">
        <v>92</v>
      </c>
      <c r="H3" s="5" t="s">
        <v>91</v>
      </c>
      <c r="I3" s="5" t="s">
        <v>115</v>
      </c>
      <c r="J3" s="5" t="s">
        <v>155</v>
      </c>
    </row>
    <row r="4" spans="1:10" ht="15">
      <c r="A4" t="s">
        <v>0</v>
      </c>
      <c r="B4" s="2">
        <f>VLOOKUP($A4,'County Totals'!$A:$D,2,FALSE)</f>
        <v>377.30399999999906</v>
      </c>
      <c r="C4" s="2">
        <f>VLOOKUP($A4,'County Totals'!$A:$D,3,FALSE)</f>
        <v>608.1891900729158</v>
      </c>
      <c r="D4" s="2">
        <f>VLOOKUP($A4,'County Totals'!$A:$D,4,FALSE)</f>
        <v>223203</v>
      </c>
      <c r="E4" s="4">
        <v>5</v>
      </c>
      <c r="F4" s="4">
        <v>134</v>
      </c>
      <c r="G4" s="4">
        <v>367</v>
      </c>
      <c r="H4" s="3">
        <f>G4*1000000/(5*365*$B4*$D4/$B4)</f>
        <v>0.9009551413330417</v>
      </c>
      <c r="I4" s="3">
        <f>SUM(E4:F4)/SUM('County Totals'!E3:F3)</f>
        <v>0.879746835443038</v>
      </c>
      <c r="J4">
        <f aca="true" t="shared" si="0" ref="J4:J35">_xlfn.RANK.AVG(H4,H$1:H$65536,1)</f>
        <v>50</v>
      </c>
    </row>
    <row r="5" spans="1:10" ht="15">
      <c r="A5" t="s">
        <v>1</v>
      </c>
      <c r="B5" s="2">
        <f>VLOOKUP($A5,'County Totals'!$A:$D,2,FALSE)</f>
        <v>359.6099999999995</v>
      </c>
      <c r="C5" s="2">
        <f>VLOOKUP($A5,'County Totals'!$A:$D,3,FALSE)</f>
        <v>5407.204861111106</v>
      </c>
      <c r="D5" s="2">
        <f>VLOOKUP($A5,'County Totals'!$A:$D,4,FALSE)</f>
        <v>1868730</v>
      </c>
      <c r="E5" s="4">
        <v>10</v>
      </c>
      <c r="F5" s="4">
        <v>330</v>
      </c>
      <c r="G5" s="4">
        <v>1121</v>
      </c>
      <c r="H5" s="3">
        <f aca="true" t="shared" si="1" ref="H5:H68">G5*1000000/(5*365*$B5*$D5/$B5)</f>
        <v>0.3286973374122884</v>
      </c>
      <c r="I5" s="3">
        <f>SUM(E5:F5)/SUM('County Totals'!E4:F4)</f>
        <v>0.5872193436960277</v>
      </c>
      <c r="J5">
        <f t="shared" si="0"/>
        <v>9</v>
      </c>
    </row>
    <row r="6" spans="1:10" ht="15">
      <c r="A6" t="s">
        <v>2</v>
      </c>
      <c r="B6" s="2">
        <f>VLOOKUP($A6,'County Totals'!$A:$D,2,FALSE)</f>
        <v>288.3299999999999</v>
      </c>
      <c r="C6" s="2">
        <f>VLOOKUP($A6,'County Totals'!$A:$D,3,FALSE)</f>
        <v>926.2897544709402</v>
      </c>
      <c r="D6" s="2">
        <f>VLOOKUP($A6,'County Totals'!$A:$D,4,FALSE)</f>
        <v>251672</v>
      </c>
      <c r="E6" s="4">
        <v>1</v>
      </c>
      <c r="F6" s="4">
        <v>146</v>
      </c>
      <c r="G6" s="4">
        <v>405</v>
      </c>
      <c r="H6" s="3">
        <f t="shared" si="1"/>
        <v>0.8817739288406262</v>
      </c>
      <c r="I6" s="3">
        <f>SUM(E6:F6)/SUM('County Totals'!E5:F5)</f>
        <v>0.8076923076923077</v>
      </c>
      <c r="J6">
        <f t="shared" si="0"/>
        <v>48</v>
      </c>
    </row>
    <row r="7" spans="1:10" ht="15">
      <c r="A7" t="s">
        <v>3</v>
      </c>
      <c r="B7" s="2">
        <f>VLOOKUP($A7,'County Totals'!$A:$D,2,FALSE)</f>
        <v>361.53999999999985</v>
      </c>
      <c r="C7" s="2">
        <f>VLOOKUP($A7,'County Totals'!$A:$D,3,FALSE)</f>
        <v>455.3112172361901</v>
      </c>
      <c r="D7" s="2">
        <f>VLOOKUP($A7,'County Totals'!$A:$D,4,FALSE)</f>
        <v>153403</v>
      </c>
      <c r="E7" s="4">
        <v>14</v>
      </c>
      <c r="F7" s="4">
        <v>275</v>
      </c>
      <c r="G7" s="4">
        <v>734</v>
      </c>
      <c r="H7" s="3">
        <f t="shared" si="1"/>
        <v>2.6217986664010335</v>
      </c>
      <c r="I7" s="3">
        <f>SUM(E7:F7)/SUM('County Totals'!E6:F6)</f>
        <v>0.7939560439560439</v>
      </c>
      <c r="J7">
        <f t="shared" si="0"/>
        <v>84</v>
      </c>
    </row>
    <row r="8" spans="1:10" ht="15">
      <c r="A8" t="s">
        <v>4</v>
      </c>
      <c r="B8" s="2">
        <f>VLOOKUP($A8,'County Totals'!$A:$D,2,FALSE)</f>
        <v>373.2369999999999</v>
      </c>
      <c r="C8" s="2">
        <f>VLOOKUP($A8,'County Totals'!$A:$D,3,FALSE)</f>
        <v>577.4467476769123</v>
      </c>
      <c r="D8" s="2">
        <f>VLOOKUP($A8,'County Totals'!$A:$D,4,FALSE)</f>
        <v>201962</v>
      </c>
      <c r="E8" s="4">
        <v>4</v>
      </c>
      <c r="F8" s="4">
        <v>205</v>
      </c>
      <c r="G8" s="4">
        <v>549</v>
      </c>
      <c r="H8" s="3">
        <f t="shared" si="1"/>
        <v>1.489497617414262</v>
      </c>
      <c r="I8" s="3">
        <f>SUM(E8:F8)/SUM('County Totals'!E7:F7)</f>
        <v>0.8744769874476988</v>
      </c>
      <c r="J8">
        <f t="shared" si="0"/>
        <v>69</v>
      </c>
    </row>
    <row r="9" spans="1:10" ht="15">
      <c r="A9" t="s">
        <v>5</v>
      </c>
      <c r="B9" s="2">
        <f>VLOOKUP($A9,'County Totals'!$A:$D,2,FALSE)</f>
        <v>380.6559999999998</v>
      </c>
      <c r="C9" s="2">
        <f>VLOOKUP($A9,'County Totals'!$A:$D,3,FALSE)</f>
        <v>727.3612405853719</v>
      </c>
      <c r="D9" s="2">
        <f>VLOOKUP($A9,'County Totals'!$A:$D,4,FALSE)</f>
        <v>245779</v>
      </c>
      <c r="E9" s="4">
        <v>5</v>
      </c>
      <c r="F9" s="4">
        <v>120</v>
      </c>
      <c r="G9" s="4">
        <v>248</v>
      </c>
      <c r="H9" s="3">
        <f t="shared" si="1"/>
        <v>0.5528967526066267</v>
      </c>
      <c r="I9" s="3">
        <f>SUM(E9:F9)/SUM('County Totals'!E8:F8)</f>
        <v>0.8064516129032258</v>
      </c>
      <c r="J9">
        <f t="shared" si="0"/>
        <v>24</v>
      </c>
    </row>
    <row r="10" spans="1:10" ht="15">
      <c r="A10" t="s">
        <v>6</v>
      </c>
      <c r="B10" s="2">
        <f>VLOOKUP($A10,'County Totals'!$A:$D,2,FALSE)</f>
        <v>312.1900000000003</v>
      </c>
      <c r="C10" s="2">
        <f>VLOOKUP($A10,'County Totals'!$A:$D,3,FALSE)</f>
        <v>971.4884840151246</v>
      </c>
      <c r="D10" s="2">
        <f>VLOOKUP($A10,'County Totals'!$A:$D,4,FALSE)</f>
        <v>282606</v>
      </c>
      <c r="E10" s="4">
        <v>7</v>
      </c>
      <c r="F10" s="4">
        <v>242</v>
      </c>
      <c r="G10" s="4">
        <v>734</v>
      </c>
      <c r="H10" s="3">
        <f t="shared" si="1"/>
        <v>1.423153722220752</v>
      </c>
      <c r="I10" s="3">
        <f>SUM(E10:F10)/SUM('County Totals'!E9:F9)</f>
        <v>0.8736842105263158</v>
      </c>
      <c r="J10">
        <f t="shared" si="0"/>
        <v>67</v>
      </c>
    </row>
    <row r="11" spans="1:10" ht="15">
      <c r="A11" t="s">
        <v>7</v>
      </c>
      <c r="B11" s="2">
        <f>VLOOKUP($A11,'County Totals'!$A:$D,2,FALSE)</f>
        <v>338.9509999999999</v>
      </c>
      <c r="C11" s="2">
        <f>VLOOKUP($A11,'County Totals'!$A:$D,3,FALSE)</f>
        <v>1099.2955731307122</v>
      </c>
      <c r="D11" s="2">
        <f>VLOOKUP($A11,'County Totals'!$A:$D,4,FALSE)</f>
        <v>361112</v>
      </c>
      <c r="E11" s="4">
        <v>2</v>
      </c>
      <c r="F11" s="4">
        <v>224</v>
      </c>
      <c r="G11" s="4">
        <v>572</v>
      </c>
      <c r="H11" s="3">
        <f t="shared" si="1"/>
        <v>0.8679430690042053</v>
      </c>
      <c r="I11" s="3">
        <f>SUM(E11:F11)/SUM('County Totals'!E10:F10)</f>
        <v>0.7583892617449665</v>
      </c>
      <c r="J11">
        <f t="shared" si="0"/>
        <v>45</v>
      </c>
    </row>
    <row r="12" spans="1:10" ht="15">
      <c r="A12" t="s">
        <v>8</v>
      </c>
      <c r="B12" s="2">
        <f>VLOOKUP($A12,'County Totals'!$A:$D,2,FALSE)</f>
        <v>272.3199999999999</v>
      </c>
      <c r="C12" s="2">
        <f>VLOOKUP($A12,'County Totals'!$A:$D,3,FALSE)</f>
        <v>9815.053547388938</v>
      </c>
      <c r="D12" s="2">
        <f>VLOOKUP($A12,'County Totals'!$A:$D,4,FALSE)</f>
        <v>2442427</v>
      </c>
      <c r="E12" s="4">
        <v>16</v>
      </c>
      <c r="F12" s="4">
        <v>776</v>
      </c>
      <c r="G12" s="4">
        <v>2466</v>
      </c>
      <c r="H12" s="3">
        <f t="shared" si="1"/>
        <v>0.5532336797424565</v>
      </c>
      <c r="I12" s="3">
        <f>SUM(E12:F12)/SUM('County Totals'!E11:F11)</f>
        <v>0.5888475836431227</v>
      </c>
      <c r="J12">
        <f t="shared" si="0"/>
        <v>25</v>
      </c>
    </row>
    <row r="13" spans="1:10" ht="15">
      <c r="A13" t="s">
        <v>9</v>
      </c>
      <c r="B13" s="2">
        <f>VLOOKUP($A13,'County Totals'!$A:$D,2,FALSE)</f>
        <v>331.13999999999993</v>
      </c>
      <c r="C13" s="2">
        <f>VLOOKUP($A13,'County Totals'!$A:$D,3,FALSE)</f>
        <v>307.4579551521623</v>
      </c>
      <c r="D13" s="2">
        <f>VLOOKUP($A13,'County Totals'!$A:$D,4,FALSE)</f>
        <v>92139</v>
      </c>
      <c r="E13" s="4">
        <v>2</v>
      </c>
      <c r="F13" s="4">
        <v>105</v>
      </c>
      <c r="G13" s="4">
        <v>359</v>
      </c>
      <c r="H13" s="3">
        <f t="shared" si="1"/>
        <v>2.1349518528215334</v>
      </c>
      <c r="I13" s="3">
        <f>SUM(E13:F13)/SUM('County Totals'!E12:F12)</f>
        <v>0.856</v>
      </c>
      <c r="J13">
        <f t="shared" si="0"/>
        <v>77</v>
      </c>
    </row>
    <row r="14" spans="1:10" ht="15">
      <c r="A14" t="s">
        <v>10</v>
      </c>
      <c r="B14" s="2">
        <f>VLOOKUP($A14,'County Totals'!$A:$D,2,FALSE)</f>
        <v>250.74500000000012</v>
      </c>
      <c r="C14" s="2">
        <f>VLOOKUP($A14,'County Totals'!$A:$D,3,FALSE)</f>
        <v>886.110254263429</v>
      </c>
      <c r="D14" s="2">
        <f>VLOOKUP($A14,'County Totals'!$A:$D,4,FALSE)</f>
        <v>201085</v>
      </c>
      <c r="E14" s="4">
        <v>6</v>
      </c>
      <c r="F14" s="4">
        <v>95</v>
      </c>
      <c r="G14" s="4">
        <v>289</v>
      </c>
      <c r="H14" s="3">
        <f t="shared" si="1"/>
        <v>0.7875085878288368</v>
      </c>
      <c r="I14" s="3">
        <f>SUM(E14:F14)/SUM('County Totals'!E13:F13)</f>
        <v>0.7829457364341085</v>
      </c>
      <c r="J14">
        <f t="shared" si="0"/>
        <v>41</v>
      </c>
    </row>
    <row r="15" spans="1:10" ht="15">
      <c r="A15" t="s">
        <v>11</v>
      </c>
      <c r="B15" s="2">
        <f>VLOOKUP($A15,'County Totals'!$A:$D,2,FALSE)</f>
        <v>310.8709999999994</v>
      </c>
      <c r="C15" s="2">
        <f>VLOOKUP($A15,'County Totals'!$A:$D,3,FALSE)</f>
        <v>6962.082705554087</v>
      </c>
      <c r="D15" s="2">
        <f>VLOOKUP($A15,'County Totals'!$A:$D,4,FALSE)</f>
        <v>2028549</v>
      </c>
      <c r="E15" s="4">
        <v>19</v>
      </c>
      <c r="F15" s="4">
        <v>340</v>
      </c>
      <c r="G15" s="4">
        <v>1033</v>
      </c>
      <c r="H15" s="3">
        <f t="shared" si="1"/>
        <v>0.27903067525619246</v>
      </c>
      <c r="I15" s="3">
        <f>SUM(E15:F15)/SUM('County Totals'!E14:F14)</f>
        <v>0.6342756183745583</v>
      </c>
      <c r="J15">
        <f t="shared" si="0"/>
        <v>4</v>
      </c>
    </row>
    <row r="16" spans="1:10" ht="15">
      <c r="A16" t="s">
        <v>12</v>
      </c>
      <c r="B16" s="2">
        <f>VLOOKUP($A16,'County Totals'!$A:$D,2,FALSE)</f>
        <v>384.63</v>
      </c>
      <c r="C16" s="2">
        <f>VLOOKUP($A16,'County Totals'!$A:$D,3,FALSE)</f>
        <v>4332.061894563976</v>
      </c>
      <c r="D16" s="2">
        <f>VLOOKUP($A16,'County Totals'!$A:$D,4,FALSE)</f>
        <v>1561639</v>
      </c>
      <c r="E16" s="4">
        <v>23</v>
      </c>
      <c r="F16" s="4">
        <v>1123</v>
      </c>
      <c r="G16" s="4">
        <v>3867</v>
      </c>
      <c r="H16" s="3">
        <f t="shared" si="1"/>
        <v>1.3568463067258445</v>
      </c>
      <c r="I16" s="3">
        <f>SUM(E16:F16)/SUM('County Totals'!E15:F15)</f>
        <v>0.6777054997043169</v>
      </c>
      <c r="J16">
        <f t="shared" si="0"/>
        <v>65</v>
      </c>
    </row>
    <row r="17" spans="1:10" ht="15">
      <c r="A17" t="s">
        <v>13</v>
      </c>
      <c r="B17" s="2">
        <f>VLOOKUP($A17,'County Totals'!$A:$D,2,FALSE)</f>
        <v>266.40000000000003</v>
      </c>
      <c r="C17" s="2">
        <f>VLOOKUP($A17,'County Totals'!$A:$D,3,FALSE)</f>
        <v>807.7225906474994</v>
      </c>
      <c r="D17" s="2">
        <f>VLOOKUP($A17,'County Totals'!$A:$D,4,FALSE)</f>
        <v>199018</v>
      </c>
      <c r="E17" s="4">
        <v>0</v>
      </c>
      <c r="F17" s="4">
        <v>127</v>
      </c>
      <c r="G17" s="4">
        <v>333</v>
      </c>
      <c r="H17" s="3">
        <f t="shared" si="1"/>
        <v>0.9168304044089356</v>
      </c>
      <c r="I17" s="3">
        <f>SUM(E17:F17)/SUM('County Totals'!E16:F16)</f>
        <v>0.8639455782312925</v>
      </c>
      <c r="J17">
        <f t="shared" si="0"/>
        <v>53</v>
      </c>
    </row>
    <row r="18" spans="1:10" ht="15">
      <c r="A18" t="s">
        <v>14</v>
      </c>
      <c r="B18" s="2">
        <f>VLOOKUP($A18,'County Totals'!$A:$D,2,FALSE)</f>
        <v>169.76000000000005</v>
      </c>
      <c r="C18" s="2">
        <f>VLOOKUP($A18,'County Totals'!$A:$D,3,FALSE)</f>
        <v>1741.909243697479</v>
      </c>
      <c r="D18" s="2">
        <f>VLOOKUP($A18,'County Totals'!$A:$D,4,FALSE)</f>
        <v>259109</v>
      </c>
      <c r="E18" s="4">
        <v>9</v>
      </c>
      <c r="F18" s="4">
        <v>242</v>
      </c>
      <c r="G18" s="4">
        <v>676</v>
      </c>
      <c r="H18" s="3">
        <f t="shared" si="1"/>
        <v>1.4295565144557296</v>
      </c>
      <c r="I18" s="3">
        <f>SUM(E18:F18)/SUM('County Totals'!E17:F17)</f>
        <v>0.7339181286549707</v>
      </c>
      <c r="J18">
        <f t="shared" si="0"/>
        <v>68</v>
      </c>
    </row>
    <row r="19" spans="1:10" ht="15">
      <c r="A19" t="s">
        <v>15</v>
      </c>
      <c r="B19" s="2">
        <f>VLOOKUP($A19,'County Totals'!$A:$D,2,FALSE)</f>
        <v>360.34999999999985</v>
      </c>
      <c r="C19" s="2">
        <f>VLOOKUP($A19,'County Totals'!$A:$D,3,FALSE)</f>
        <v>490.6959159373184</v>
      </c>
      <c r="D19" s="2">
        <f>VLOOKUP($A19,'County Totals'!$A:$D,4,FALSE)</f>
        <v>169374</v>
      </c>
      <c r="E19" s="4">
        <v>11</v>
      </c>
      <c r="F19" s="4">
        <v>95</v>
      </c>
      <c r="G19" s="4">
        <v>280</v>
      </c>
      <c r="H19" s="3">
        <f t="shared" si="1"/>
        <v>0.905833584459519</v>
      </c>
      <c r="I19" s="3">
        <f>SUM(E19:F19)/SUM('County Totals'!E18:F18)</f>
        <v>0.8548387096774194</v>
      </c>
      <c r="J19">
        <f t="shared" si="0"/>
        <v>51</v>
      </c>
    </row>
    <row r="20" spans="1:10" ht="15">
      <c r="A20" t="s">
        <v>16</v>
      </c>
      <c r="B20" s="2">
        <f>VLOOKUP($A20,'County Totals'!$A:$D,2,FALSE)</f>
        <v>251.70600000000002</v>
      </c>
      <c r="C20" s="2">
        <f>VLOOKUP($A20,'County Totals'!$A:$D,3,FALSE)</f>
        <v>1628.1272750631672</v>
      </c>
      <c r="D20" s="2">
        <f>VLOOKUP($A20,'County Totals'!$A:$D,4,FALSE)</f>
        <v>380184</v>
      </c>
      <c r="E20" s="4">
        <v>2</v>
      </c>
      <c r="F20" s="4">
        <v>91</v>
      </c>
      <c r="G20" s="4">
        <v>283</v>
      </c>
      <c r="H20" s="3">
        <f t="shared" si="1"/>
        <v>0.40787748340457497</v>
      </c>
      <c r="I20" s="3">
        <f>SUM(E20:F20)/SUM('County Totals'!E19:F19)</f>
        <v>0.775</v>
      </c>
      <c r="J20">
        <f t="shared" si="0"/>
        <v>15</v>
      </c>
    </row>
    <row r="21" spans="1:10" ht="15">
      <c r="A21" t="s">
        <v>17</v>
      </c>
      <c r="B21" s="2">
        <f>VLOOKUP($A21,'County Totals'!$A:$D,2,FALSE)</f>
        <v>24.26</v>
      </c>
      <c r="C21" s="2">
        <f>VLOOKUP($A21,'County Totals'!$A:$D,3,FALSE)</f>
        <v>9688.808426596446</v>
      </c>
      <c r="D21" s="2">
        <f>VLOOKUP($A21,'County Totals'!$A:$D,4,FALSE)</f>
        <v>147173</v>
      </c>
      <c r="E21" s="4">
        <v>1</v>
      </c>
      <c r="F21" s="4">
        <v>64</v>
      </c>
      <c r="G21" s="4">
        <v>216</v>
      </c>
      <c r="H21" s="3">
        <f t="shared" si="1"/>
        <v>0.8041975388390645</v>
      </c>
      <c r="I21" s="3">
        <f>SUM(E21:F21)/SUM('County Totals'!E20:F20)</f>
        <v>0.5855855855855856</v>
      </c>
      <c r="J21">
        <f t="shared" si="0"/>
        <v>42</v>
      </c>
    </row>
    <row r="22" spans="1:10" ht="15">
      <c r="A22" t="s">
        <v>18</v>
      </c>
      <c r="B22" s="2">
        <f>VLOOKUP($A22,'County Totals'!$A:$D,2,FALSE)</f>
        <v>579.3000000000002</v>
      </c>
      <c r="C22" s="2">
        <f>VLOOKUP($A22,'County Totals'!$A:$D,3,FALSE)</f>
        <v>358.73131535147445</v>
      </c>
      <c r="D22" s="2">
        <f>VLOOKUP($A22,'County Totals'!$A:$D,4,FALSE)</f>
        <v>180185</v>
      </c>
      <c r="E22" s="4">
        <v>10</v>
      </c>
      <c r="F22" s="4">
        <v>141</v>
      </c>
      <c r="G22" s="4">
        <v>498</v>
      </c>
      <c r="H22" s="3">
        <f t="shared" si="1"/>
        <v>1.5144252425494196</v>
      </c>
      <c r="I22" s="3">
        <f>SUM(E22:F22)/SUM('County Totals'!E21:F21)</f>
        <v>0.766497461928934</v>
      </c>
      <c r="J22">
        <f t="shared" si="0"/>
        <v>70</v>
      </c>
    </row>
    <row r="23" spans="1:10" ht="15">
      <c r="A23" t="s">
        <v>19</v>
      </c>
      <c r="B23" s="2">
        <f>VLOOKUP($A23,'County Totals'!$A:$D,2,FALSE)</f>
        <v>342.11999999999983</v>
      </c>
      <c r="C23" s="2">
        <f>VLOOKUP($A23,'County Totals'!$A:$D,3,FALSE)</f>
        <v>826.9997843079481</v>
      </c>
      <c r="D23" s="2">
        <f>VLOOKUP($A23,'County Totals'!$A:$D,4,FALSE)</f>
        <v>272226</v>
      </c>
      <c r="E23" s="4">
        <v>4</v>
      </c>
      <c r="F23" s="4">
        <v>97</v>
      </c>
      <c r="G23" s="4">
        <v>267</v>
      </c>
      <c r="H23" s="3">
        <f t="shared" si="1"/>
        <v>0.5374261454196649</v>
      </c>
      <c r="I23" s="3">
        <f>SUM(E23:F23)/SUM('County Totals'!E22:F22)</f>
        <v>0.6558441558441559</v>
      </c>
      <c r="J23">
        <f t="shared" si="0"/>
        <v>23</v>
      </c>
    </row>
    <row r="24" spans="1:10" ht="15">
      <c r="A24" t="s">
        <v>20</v>
      </c>
      <c r="B24" s="2">
        <f>VLOOKUP($A24,'County Totals'!$A:$D,2,FALSE)</f>
        <v>341.84000000000003</v>
      </c>
      <c r="C24" s="2">
        <f>VLOOKUP($A24,'County Totals'!$A:$D,3,FALSE)</f>
        <v>3982.0600778787325</v>
      </c>
      <c r="D24" s="2">
        <f>VLOOKUP($A24,'County Totals'!$A:$D,4,FALSE)</f>
        <v>1288515</v>
      </c>
      <c r="E24" s="4">
        <v>9</v>
      </c>
      <c r="F24" s="4">
        <v>345</v>
      </c>
      <c r="G24" s="4">
        <v>962</v>
      </c>
      <c r="H24" s="3">
        <f t="shared" si="1"/>
        <v>0.40909363699392937</v>
      </c>
      <c r="I24" s="3">
        <f>SUM(E24:F24)/SUM('County Totals'!E23:F23)</f>
        <v>0.5574803149606299</v>
      </c>
      <c r="J24">
        <f t="shared" si="0"/>
        <v>16</v>
      </c>
    </row>
    <row r="25" spans="1:10" ht="15">
      <c r="A25" t="s">
        <v>21</v>
      </c>
      <c r="B25" s="2">
        <f>VLOOKUP($A25,'County Totals'!$A:$D,2,FALSE)</f>
        <v>147.53999999999985</v>
      </c>
      <c r="C25" s="2">
        <f>VLOOKUP($A25,'County Totals'!$A:$D,3,FALSE)</f>
        <v>10688.910739020916</v>
      </c>
      <c r="D25" s="2">
        <f>VLOOKUP($A25,'County Totals'!$A:$D,4,FALSE)</f>
        <v>1489318</v>
      </c>
      <c r="E25" s="4">
        <v>8</v>
      </c>
      <c r="F25" s="4">
        <v>153</v>
      </c>
      <c r="G25" s="4">
        <v>476</v>
      </c>
      <c r="H25" s="3">
        <f t="shared" si="1"/>
        <v>0.17512842643963156</v>
      </c>
      <c r="I25" s="3">
        <f>SUM(E25:F25)/SUM('County Totals'!E24:F24)</f>
        <v>0.5609756097560976</v>
      </c>
      <c r="J25">
        <f t="shared" si="0"/>
        <v>1</v>
      </c>
    </row>
    <row r="26" spans="1:10" ht="15">
      <c r="A26" t="s">
        <v>22</v>
      </c>
      <c r="B26" s="2">
        <f>VLOOKUP($A26,'County Totals'!$A:$D,2,FALSE)</f>
        <v>371.2100000000001</v>
      </c>
      <c r="C26" s="2">
        <f>VLOOKUP($A26,'County Totals'!$A:$D,3,FALSE)</f>
        <v>1364.5100607806496</v>
      </c>
      <c r="D26" s="2">
        <f>VLOOKUP($A26,'County Totals'!$A:$D,4,FALSE)</f>
        <v>439566</v>
      </c>
      <c r="E26" s="4">
        <v>23</v>
      </c>
      <c r="F26" s="4">
        <v>432</v>
      </c>
      <c r="G26" s="4">
        <v>1026</v>
      </c>
      <c r="H26" s="3">
        <f t="shared" si="1"/>
        <v>1.2789701223978147</v>
      </c>
      <c r="I26" s="3">
        <f>SUM(E26:F26)/SUM('County Totals'!E25:F25)</f>
        <v>0.6780923994038748</v>
      </c>
      <c r="J26">
        <f t="shared" si="0"/>
        <v>63</v>
      </c>
    </row>
    <row r="27" spans="1:10" ht="15">
      <c r="A27" t="s">
        <v>23</v>
      </c>
      <c r="B27" s="2">
        <f>VLOOKUP($A27,'County Totals'!$A:$D,2,FALSE)</f>
        <v>313.65599999999966</v>
      </c>
      <c r="C27" s="2">
        <f>VLOOKUP($A27,'County Totals'!$A:$D,3,FALSE)</f>
        <v>1053.0920401903597</v>
      </c>
      <c r="D27" s="2">
        <f>VLOOKUP($A27,'County Totals'!$A:$D,4,FALSE)</f>
        <v>316213</v>
      </c>
      <c r="E27" s="4">
        <v>4</v>
      </c>
      <c r="F27" s="4">
        <v>113</v>
      </c>
      <c r="G27" s="4">
        <v>305</v>
      </c>
      <c r="H27" s="3">
        <f t="shared" si="1"/>
        <v>0.5285149177017797</v>
      </c>
      <c r="I27" s="3">
        <f>SUM(E27:F27)/SUM('County Totals'!E26:F26)</f>
        <v>0.8931297709923665</v>
      </c>
      <c r="J27">
        <f t="shared" si="0"/>
        <v>21</v>
      </c>
    </row>
    <row r="28" spans="1:10" ht="15">
      <c r="A28" t="s">
        <v>24</v>
      </c>
      <c r="B28" s="2">
        <f>VLOOKUP($A28,'County Totals'!$A:$D,2,FALSE)</f>
        <v>274.15999999999974</v>
      </c>
      <c r="C28" s="2">
        <f>VLOOKUP($A28,'County Totals'!$A:$D,3,FALSE)</f>
        <v>6500.200549742232</v>
      </c>
      <c r="D28" s="2">
        <f>VLOOKUP($A28,'County Totals'!$A:$D,4,FALSE)</f>
        <v>1102005</v>
      </c>
      <c r="E28" s="4">
        <v>23</v>
      </c>
      <c r="F28" s="4">
        <v>807</v>
      </c>
      <c r="G28" s="4">
        <v>2235</v>
      </c>
      <c r="H28" s="3">
        <f t="shared" si="1"/>
        <v>1.1112994353442818</v>
      </c>
      <c r="I28" s="3">
        <f>SUM(E28:F28)/SUM('County Totals'!E27:F27)</f>
        <v>0.5233291298865069</v>
      </c>
      <c r="J28">
        <f t="shared" si="0"/>
        <v>58</v>
      </c>
    </row>
    <row r="29" spans="1:10" ht="15">
      <c r="A29" t="s">
        <v>25</v>
      </c>
      <c r="B29" s="2">
        <f>VLOOKUP($A29,'County Totals'!$A:$D,2,FALSE)</f>
        <v>381.6899999999999</v>
      </c>
      <c r="C29" s="2">
        <f>VLOOKUP($A29,'County Totals'!$A:$D,3,FALSE)</f>
        <v>1267.8401732634989</v>
      </c>
      <c r="D29" s="2">
        <f>VLOOKUP($A29,'County Totals'!$A:$D,4,FALSE)</f>
        <v>458948</v>
      </c>
      <c r="E29" s="4">
        <v>5</v>
      </c>
      <c r="F29" s="4">
        <v>147</v>
      </c>
      <c r="G29" s="4">
        <v>428</v>
      </c>
      <c r="H29" s="3">
        <f t="shared" si="1"/>
        <v>0.5109959035559705</v>
      </c>
      <c r="I29" s="3">
        <f>SUM(E29:F29)/SUM('County Totals'!E28:F28)</f>
        <v>0.6307053941908713</v>
      </c>
      <c r="J29">
        <f t="shared" si="0"/>
        <v>20</v>
      </c>
    </row>
    <row r="30" spans="1:10" ht="15">
      <c r="A30" t="s">
        <v>26</v>
      </c>
      <c r="B30" s="2">
        <f>VLOOKUP($A30,'County Totals'!$A:$D,2,FALSE)</f>
        <v>460.0999999999999</v>
      </c>
      <c r="C30" s="2">
        <f>VLOOKUP($A30,'County Totals'!$A:$D,3,FALSE)</f>
        <v>353.11672791037955</v>
      </c>
      <c r="D30" s="2">
        <f>VLOOKUP($A30,'County Totals'!$A:$D,4,FALSE)</f>
        <v>158078</v>
      </c>
      <c r="E30" s="4">
        <v>6</v>
      </c>
      <c r="F30" s="4">
        <v>189</v>
      </c>
      <c r="G30" s="4">
        <v>575</v>
      </c>
      <c r="H30" s="3">
        <f t="shared" si="1"/>
        <v>1.9931204414952424</v>
      </c>
      <c r="I30" s="3">
        <f>SUM(E30:F30)/SUM('County Totals'!E29:F29)</f>
        <v>0.8441558441558441</v>
      </c>
      <c r="J30">
        <f t="shared" si="0"/>
        <v>75</v>
      </c>
    </row>
    <row r="31" spans="1:10" ht="15">
      <c r="A31" t="s">
        <v>27</v>
      </c>
      <c r="B31" s="2">
        <f>VLOOKUP($A31,'County Totals'!$A:$D,2,FALSE)</f>
        <v>237.56999999999994</v>
      </c>
      <c r="C31" s="2">
        <f>VLOOKUP($A31,'County Totals'!$A:$D,3,FALSE)</f>
        <v>2421.1727137887087</v>
      </c>
      <c r="D31" s="2">
        <f>VLOOKUP($A31,'County Totals'!$A:$D,4,FALSE)</f>
        <v>533779</v>
      </c>
      <c r="E31" s="4">
        <v>8</v>
      </c>
      <c r="F31" s="4">
        <v>361</v>
      </c>
      <c r="G31" s="4">
        <v>1114</v>
      </c>
      <c r="H31" s="3">
        <f t="shared" si="1"/>
        <v>1.1435649564784482</v>
      </c>
      <c r="I31" s="3">
        <f>SUM(E31:F31)/SUM('County Totals'!E30:F30)</f>
        <v>0.6601073345259392</v>
      </c>
      <c r="J31">
        <f t="shared" si="0"/>
        <v>59</v>
      </c>
    </row>
    <row r="32" spans="1:10" ht="15">
      <c r="A32" t="s">
        <v>28</v>
      </c>
      <c r="B32" s="2">
        <f>VLOOKUP($A32,'County Totals'!$A:$D,2,FALSE)</f>
        <v>327.07699999999954</v>
      </c>
      <c r="C32" s="2">
        <f>VLOOKUP($A32,'County Totals'!$A:$D,3,FALSE)</f>
        <v>7013.6265227647245</v>
      </c>
      <c r="D32" s="2">
        <f>VLOOKUP($A32,'County Totals'!$A:$D,4,FALSE)</f>
        <v>2170507</v>
      </c>
      <c r="E32" s="4">
        <v>8</v>
      </c>
      <c r="F32" s="4">
        <v>486</v>
      </c>
      <c r="G32" s="4">
        <v>1294</v>
      </c>
      <c r="H32" s="3">
        <f t="shared" si="1"/>
        <v>0.3266707252685252</v>
      </c>
      <c r="I32" s="3">
        <f>SUM(E32:F32)/SUM('County Totals'!E31:F31)</f>
        <v>0.6508563899868248</v>
      </c>
      <c r="J32">
        <f t="shared" si="0"/>
        <v>7</v>
      </c>
    </row>
    <row r="33" spans="1:10" ht="15">
      <c r="A33" t="s">
        <v>29</v>
      </c>
      <c r="B33" s="2">
        <f>VLOOKUP($A33,'County Totals'!$A:$D,2,FALSE)</f>
        <v>410.7750000000006</v>
      </c>
      <c r="C33" s="2">
        <f>VLOOKUP($A33,'County Totals'!$A:$D,3,FALSE)</f>
        <v>1094.2659337935306</v>
      </c>
      <c r="D33" s="2">
        <f>VLOOKUP($A33,'County Totals'!$A:$D,4,FALSE)</f>
        <v>432606</v>
      </c>
      <c r="E33" s="4">
        <v>4</v>
      </c>
      <c r="F33" s="4">
        <v>179</v>
      </c>
      <c r="G33" s="4">
        <v>515</v>
      </c>
      <c r="H33" s="3">
        <f t="shared" si="1"/>
        <v>0.652306673559585</v>
      </c>
      <c r="I33" s="3">
        <f>SUM(E33:F33)/SUM('County Totals'!E32:F32)</f>
        <v>0.8511627906976744</v>
      </c>
      <c r="J33">
        <f t="shared" si="0"/>
        <v>30</v>
      </c>
    </row>
    <row r="34" spans="1:10" ht="15">
      <c r="A34" t="s">
        <v>30</v>
      </c>
      <c r="B34" s="2">
        <f>VLOOKUP($A34,'County Totals'!$A:$D,2,FALSE)</f>
        <v>515.9000000000002</v>
      </c>
      <c r="C34" s="2">
        <f>VLOOKUP($A34,'County Totals'!$A:$D,3,FALSE)</f>
        <v>12572.984984764154</v>
      </c>
      <c r="D34" s="2">
        <f>VLOOKUP($A34,'County Totals'!$A:$D,4,FALSE)</f>
        <v>5471235</v>
      </c>
      <c r="E34" s="4">
        <v>37</v>
      </c>
      <c r="F34" s="4">
        <v>1881</v>
      </c>
      <c r="G34" s="4">
        <v>6952</v>
      </c>
      <c r="H34" s="3">
        <f t="shared" si="1"/>
        <v>0.6962440963499376</v>
      </c>
      <c r="I34" s="3">
        <f>SUM(E34:F34)/SUM('County Totals'!E33:F33)</f>
        <v>0.5399774774774775</v>
      </c>
      <c r="J34">
        <f t="shared" si="0"/>
        <v>31</v>
      </c>
    </row>
    <row r="35" spans="1:10" ht="15">
      <c r="A35" t="s">
        <v>31</v>
      </c>
      <c r="B35" s="2">
        <f>VLOOKUP($A35,'County Totals'!$A:$D,2,FALSE)</f>
        <v>407.6699999999991</v>
      </c>
      <c r="C35" s="2">
        <f>VLOOKUP($A35,'County Totals'!$A:$D,3,FALSE)</f>
        <v>1926.6038034260312</v>
      </c>
      <c r="D35" s="2">
        <f>VLOOKUP($A35,'County Totals'!$A:$D,4,FALSE)</f>
        <v>706528</v>
      </c>
      <c r="E35" s="4">
        <v>8</v>
      </c>
      <c r="F35" s="4">
        <v>115</v>
      </c>
      <c r="G35" s="4">
        <v>478</v>
      </c>
      <c r="H35" s="3">
        <f t="shared" si="1"/>
        <v>0.37071115117755854</v>
      </c>
      <c r="I35" s="3">
        <f>SUM(E35:F35)/SUM('County Totals'!E34:F34)</f>
        <v>0.634020618556701</v>
      </c>
      <c r="J35">
        <f t="shared" si="0"/>
        <v>11</v>
      </c>
    </row>
    <row r="36" spans="1:10" ht="15">
      <c r="A36" t="s">
        <v>32</v>
      </c>
      <c r="B36" s="2">
        <f>VLOOKUP($A36,'County Totals'!$A:$D,2,FALSE)</f>
        <v>405.3439999999992</v>
      </c>
      <c r="C36" s="2">
        <f>VLOOKUP($A36,'County Totals'!$A:$D,3,FALSE)</f>
        <v>643.263436718412</v>
      </c>
      <c r="D36" s="2">
        <f>VLOOKUP($A36,'County Totals'!$A:$D,4,FALSE)</f>
        <v>243820</v>
      </c>
      <c r="E36" s="4">
        <v>4</v>
      </c>
      <c r="F36" s="4">
        <v>71</v>
      </c>
      <c r="G36" s="4">
        <v>190</v>
      </c>
      <c r="H36" s="3">
        <f t="shared" si="1"/>
        <v>0.4269936389184476</v>
      </c>
      <c r="I36" s="3">
        <f>SUM(E36:F36)/SUM('County Totals'!E35:F35)</f>
        <v>0.78125</v>
      </c>
      <c r="J36">
        <f aca="true" t="shared" si="2" ref="J36:J67">_xlfn.RANK.AVG(H36,H$1:H$65536,1)</f>
        <v>17</v>
      </c>
    </row>
    <row r="37" spans="1:10" ht="15">
      <c r="A37" t="s">
        <v>33</v>
      </c>
      <c r="B37" s="2">
        <f>VLOOKUP($A37,'County Totals'!$A:$D,2,FALSE)</f>
        <v>281.61000000000007</v>
      </c>
      <c r="C37" s="2">
        <f>VLOOKUP($A37,'County Totals'!$A:$D,3,FALSE)</f>
        <v>243.0666497612105</v>
      </c>
      <c r="D37" s="2">
        <f>VLOOKUP($A37,'County Totals'!$A:$D,4,FALSE)</f>
        <v>57512</v>
      </c>
      <c r="E37" s="4">
        <v>4</v>
      </c>
      <c r="F37" s="4">
        <v>82</v>
      </c>
      <c r="G37" s="4">
        <v>217</v>
      </c>
      <c r="H37" s="3">
        <f t="shared" si="1"/>
        <v>2.0674660868869297</v>
      </c>
      <c r="I37" s="3">
        <f>SUM(E37:F37)/SUM('County Totals'!E36:F36)</f>
        <v>0.8958333333333334</v>
      </c>
      <c r="J37">
        <f t="shared" si="2"/>
        <v>76</v>
      </c>
    </row>
    <row r="38" spans="1:10" ht="15">
      <c r="A38" t="s">
        <v>34</v>
      </c>
      <c r="B38" s="2">
        <f>VLOOKUP($A38,'County Totals'!$A:$D,2,FALSE)</f>
        <v>435.07399999999944</v>
      </c>
      <c r="C38" s="2">
        <f>VLOOKUP($A38,'County Totals'!$A:$D,3,FALSE)</f>
        <v>456.393592407563</v>
      </c>
      <c r="D38" s="2">
        <f>VLOOKUP($A38,'County Totals'!$A:$D,4,FALSE)</f>
        <v>185817</v>
      </c>
      <c r="E38" s="4">
        <v>1</v>
      </c>
      <c r="F38" s="4">
        <v>103</v>
      </c>
      <c r="G38" s="4">
        <v>274</v>
      </c>
      <c r="H38" s="3">
        <f t="shared" si="1"/>
        <v>0.8079830494592521</v>
      </c>
      <c r="I38" s="3">
        <f>SUM(E38:F38)/SUM('County Totals'!E37:F37)</f>
        <v>0.7703703703703704</v>
      </c>
      <c r="J38">
        <f t="shared" si="2"/>
        <v>43</v>
      </c>
    </row>
    <row r="39" spans="1:10" ht="15">
      <c r="A39" t="s">
        <v>35</v>
      </c>
      <c r="B39" s="2">
        <f>VLOOKUP($A39,'County Totals'!$A:$D,2,FALSE)</f>
        <v>399.69000000000034</v>
      </c>
      <c r="C39" s="2">
        <f>VLOOKUP($A39,'County Totals'!$A:$D,3,FALSE)</f>
        <v>290.3107792211284</v>
      </c>
      <c r="D39" s="2">
        <f>VLOOKUP($A39,'County Totals'!$A:$D,4,FALSE)</f>
        <v>107921</v>
      </c>
      <c r="E39" s="4">
        <v>5</v>
      </c>
      <c r="F39" s="4">
        <v>132</v>
      </c>
      <c r="G39" s="4">
        <v>362</v>
      </c>
      <c r="H39" s="3">
        <f t="shared" si="1"/>
        <v>1.8379755968121279</v>
      </c>
      <c r="I39" s="3">
        <f>SUM(E39:F39)/SUM('County Totals'!E38:F38)</f>
        <v>0.8303030303030303</v>
      </c>
      <c r="J39">
        <f t="shared" si="2"/>
        <v>72</v>
      </c>
    </row>
    <row r="40" spans="1:10" ht="15">
      <c r="A40" t="s">
        <v>36</v>
      </c>
      <c r="B40" s="2">
        <f>VLOOKUP($A40,'County Totals'!$A:$D,2,FALSE)</f>
        <v>218.51999999999987</v>
      </c>
      <c r="C40" s="2">
        <f>VLOOKUP($A40,'County Totals'!$A:$D,3,FALSE)</f>
        <v>463.2355874725716</v>
      </c>
      <c r="D40" s="2">
        <f>VLOOKUP($A40,'County Totals'!$A:$D,4,FALSE)</f>
        <v>92888</v>
      </c>
      <c r="E40" s="4">
        <v>0</v>
      </c>
      <c r="F40" s="4">
        <v>127</v>
      </c>
      <c r="G40" s="4">
        <v>302</v>
      </c>
      <c r="H40" s="3">
        <f t="shared" si="1"/>
        <v>1.7814944024502037</v>
      </c>
      <c r="I40" s="3">
        <f>SUM(E40:F40)/SUM('County Totals'!E39:F39)</f>
        <v>0.8819444444444444</v>
      </c>
      <c r="J40">
        <f t="shared" si="2"/>
        <v>71</v>
      </c>
    </row>
    <row r="41" spans="1:10" ht="15">
      <c r="A41" t="s">
        <v>37</v>
      </c>
      <c r="B41" s="2">
        <f>VLOOKUP($A41,'County Totals'!$A:$D,2,FALSE)</f>
        <v>253.98700000000022</v>
      </c>
      <c r="C41" s="2">
        <f>VLOOKUP($A41,'County Totals'!$A:$D,3,FALSE)</f>
        <v>1334.794943485776</v>
      </c>
      <c r="D41" s="2">
        <f>VLOOKUP($A41,'County Totals'!$A:$D,4,FALSE)</f>
        <v>325112</v>
      </c>
      <c r="E41" s="4">
        <v>6</v>
      </c>
      <c r="F41" s="4">
        <v>138</v>
      </c>
      <c r="G41" s="4">
        <v>483</v>
      </c>
      <c r="H41" s="3">
        <f t="shared" si="1"/>
        <v>0.8140503403337168</v>
      </c>
      <c r="I41" s="3">
        <f>SUM(E41:F41)/SUM('County Totals'!E40:F40)</f>
        <v>0.7128712871287128</v>
      </c>
      <c r="J41">
        <f t="shared" si="2"/>
        <v>44</v>
      </c>
    </row>
    <row r="42" spans="1:10" ht="15">
      <c r="A42" t="s">
        <v>38</v>
      </c>
      <c r="B42" s="2">
        <f>VLOOKUP($A42,'County Totals'!$A:$D,2,FALSE)</f>
        <v>241.26000000000008</v>
      </c>
      <c r="C42" s="2">
        <f>VLOOKUP($A42,'County Totals'!$A:$D,3,FALSE)</f>
        <v>735.102609008038</v>
      </c>
      <c r="D42" s="2">
        <f>VLOOKUP($A42,'County Totals'!$A:$D,4,FALSE)</f>
        <v>163700</v>
      </c>
      <c r="E42" s="4">
        <v>3</v>
      </c>
      <c r="F42" s="4">
        <v>117</v>
      </c>
      <c r="G42" s="4">
        <v>349</v>
      </c>
      <c r="H42" s="3">
        <f t="shared" si="1"/>
        <v>1.1681910611626682</v>
      </c>
      <c r="I42" s="3">
        <f>SUM(E42:F42)/SUM('County Totals'!E41:F41)</f>
        <v>0.8053691275167785</v>
      </c>
      <c r="J42">
        <f t="shared" si="2"/>
        <v>60</v>
      </c>
    </row>
    <row r="43" spans="1:10" ht="15">
      <c r="A43" t="s">
        <v>39</v>
      </c>
      <c r="B43" s="2">
        <f>VLOOKUP($A43,'County Totals'!$A:$D,2,FALSE)</f>
        <v>306.85999999999996</v>
      </c>
      <c r="C43" s="2">
        <f>VLOOKUP($A43,'County Totals'!$A:$D,3,FALSE)</f>
        <v>366.0184322829062</v>
      </c>
      <c r="D43" s="2">
        <f>VLOOKUP($A43,'County Totals'!$A:$D,4,FALSE)</f>
        <v>105324</v>
      </c>
      <c r="E43" s="4">
        <v>6</v>
      </c>
      <c r="F43" s="4">
        <v>172</v>
      </c>
      <c r="G43" s="4">
        <v>523</v>
      </c>
      <c r="H43" s="3">
        <f t="shared" si="1"/>
        <v>2.7208930772260214</v>
      </c>
      <c r="I43" s="3">
        <f>SUM(E43:F43)/SUM('County Totals'!E42:F42)</f>
        <v>0.898989898989899</v>
      </c>
      <c r="J43">
        <f t="shared" si="2"/>
        <v>86</v>
      </c>
    </row>
    <row r="44" spans="1:10" ht="15">
      <c r="A44" t="s">
        <v>40</v>
      </c>
      <c r="B44" s="2">
        <f>VLOOKUP($A44,'County Totals'!$A:$D,2,FALSE)</f>
        <v>263.3600000000001</v>
      </c>
      <c r="C44" s="2">
        <f>VLOOKUP($A44,'County Totals'!$A:$D,3,FALSE)</f>
        <v>775.9359205002994</v>
      </c>
      <c r="D44" s="2">
        <f>VLOOKUP($A44,'County Totals'!$A:$D,4,FALSE)</f>
        <v>181150</v>
      </c>
      <c r="E44" s="4">
        <v>4</v>
      </c>
      <c r="F44" s="4">
        <v>207</v>
      </c>
      <c r="G44" s="4">
        <v>655</v>
      </c>
      <c r="H44" s="3">
        <f t="shared" si="1"/>
        <v>1.9812537101244334</v>
      </c>
      <c r="I44" s="3">
        <f>SUM(E44:F44)/SUM('County Totals'!E43:F43)</f>
        <v>0.8146718146718147</v>
      </c>
      <c r="J44">
        <f t="shared" si="2"/>
        <v>74</v>
      </c>
    </row>
    <row r="45" spans="1:10" ht="15">
      <c r="A45" t="s">
        <v>41</v>
      </c>
      <c r="B45" s="2">
        <f>VLOOKUP($A45,'County Totals'!$A:$D,2,FALSE)</f>
        <v>434.68000000000023</v>
      </c>
      <c r="C45" s="2">
        <f>VLOOKUP($A45,'County Totals'!$A:$D,3,FALSE)</f>
        <v>336.44900499104983</v>
      </c>
      <c r="D45" s="2">
        <f>VLOOKUP($A45,'County Totals'!$A:$D,4,FALSE)</f>
        <v>131383</v>
      </c>
      <c r="E45" s="4">
        <v>3</v>
      </c>
      <c r="F45" s="4">
        <v>217</v>
      </c>
      <c r="G45" s="4">
        <v>632</v>
      </c>
      <c r="H45" s="3">
        <f t="shared" si="1"/>
        <v>2.6358156676511704</v>
      </c>
      <c r="I45" s="3">
        <f>SUM(E45:F45)/SUM('County Totals'!E44:F44)</f>
        <v>0.8148148148148148</v>
      </c>
      <c r="J45">
        <f t="shared" si="2"/>
        <v>85</v>
      </c>
    </row>
    <row r="46" spans="1:10" ht="15">
      <c r="A46" t="s">
        <v>42</v>
      </c>
      <c r="B46" s="2">
        <f>VLOOKUP($A46,'County Totals'!$A:$D,2,FALSE)</f>
        <v>158.16000000000005</v>
      </c>
      <c r="C46" s="2">
        <f>VLOOKUP($A46,'County Totals'!$A:$D,3,FALSE)</f>
        <v>3221.6909984086356</v>
      </c>
      <c r="D46" s="2">
        <f>VLOOKUP($A46,'County Totals'!$A:$D,4,FALSE)</f>
        <v>465631</v>
      </c>
      <c r="E46" s="4">
        <v>5</v>
      </c>
      <c r="F46" s="4">
        <v>197</v>
      </c>
      <c r="G46" s="4">
        <v>643</v>
      </c>
      <c r="H46" s="3">
        <f t="shared" si="1"/>
        <v>0.7566694810338822</v>
      </c>
      <c r="I46" s="3">
        <f>SUM(E46:F46)/SUM('County Totals'!E45:F45)</f>
        <v>0.6644736842105263</v>
      </c>
      <c r="J46">
        <f t="shared" si="2"/>
        <v>38</v>
      </c>
    </row>
    <row r="47" spans="1:10" ht="15">
      <c r="A47" t="s">
        <v>43</v>
      </c>
      <c r="B47" s="2">
        <f>VLOOKUP($A47,'County Totals'!$A:$D,2,FALSE)</f>
        <v>380.79999999999967</v>
      </c>
      <c r="C47" s="2">
        <f>VLOOKUP($A47,'County Totals'!$A:$D,3,FALSE)</f>
        <v>707.5460503249816</v>
      </c>
      <c r="D47" s="2">
        <f>VLOOKUP($A47,'County Totals'!$A:$D,4,FALSE)</f>
        <v>262351</v>
      </c>
      <c r="E47" s="4">
        <v>5</v>
      </c>
      <c r="F47" s="4">
        <v>418</v>
      </c>
      <c r="G47" s="4">
        <v>1067</v>
      </c>
      <c r="H47" s="3">
        <f t="shared" si="1"/>
        <v>2.2285317542017196</v>
      </c>
      <c r="I47" s="3">
        <f>SUM(E47:F47)/SUM('County Totals'!E46:F46)</f>
        <v>0.8057142857142857</v>
      </c>
      <c r="J47">
        <f t="shared" si="2"/>
        <v>78</v>
      </c>
    </row>
    <row r="48" spans="1:10" ht="15">
      <c r="A48" t="s">
        <v>44</v>
      </c>
      <c r="B48" s="2">
        <f>VLOOKUP($A48,'County Totals'!$A:$D,2,FALSE)</f>
        <v>434.1999999999999</v>
      </c>
      <c r="C48" s="2">
        <f>VLOOKUP($A48,'County Totals'!$A:$D,3,FALSE)</f>
        <v>746.8597837540084</v>
      </c>
      <c r="D48" s="2">
        <f>VLOOKUP($A48,'County Totals'!$A:$D,4,FALSE)</f>
        <v>295572</v>
      </c>
      <c r="E48" s="4">
        <v>8</v>
      </c>
      <c r="F48" s="4">
        <v>398</v>
      </c>
      <c r="G48" s="4">
        <v>1058</v>
      </c>
      <c r="H48" s="3">
        <f t="shared" si="1"/>
        <v>1.9613699112137153</v>
      </c>
      <c r="I48" s="3">
        <f>SUM(E48:F48)/SUM('County Totals'!E47:F47)</f>
        <v>0.7945205479452054</v>
      </c>
      <c r="J48">
        <f t="shared" si="2"/>
        <v>73</v>
      </c>
    </row>
    <row r="49" spans="1:10" ht="15">
      <c r="A49" t="s">
        <v>45</v>
      </c>
      <c r="B49" s="2">
        <f>VLOOKUP($A49,'County Totals'!$A:$D,2,FALSE)</f>
        <v>376.65999999999985</v>
      </c>
      <c r="C49" s="2">
        <f>VLOOKUP($A49,'County Totals'!$A:$D,3,FALSE)</f>
        <v>652.7612179854636</v>
      </c>
      <c r="D49" s="2">
        <f>VLOOKUP($A49,'County Totals'!$A:$D,4,FALSE)</f>
        <v>227751</v>
      </c>
      <c r="E49" s="4">
        <v>5</v>
      </c>
      <c r="F49" s="4">
        <v>182</v>
      </c>
      <c r="G49" s="4">
        <v>589</v>
      </c>
      <c r="H49" s="3">
        <f t="shared" si="1"/>
        <v>1.4170727067165336</v>
      </c>
      <c r="I49" s="3">
        <f>SUM(E49:F49)/SUM('County Totals'!E48:F48)</f>
        <v>0.8095238095238095</v>
      </c>
      <c r="J49">
        <f t="shared" si="2"/>
        <v>66</v>
      </c>
    </row>
    <row r="50" spans="1:10" ht="15">
      <c r="A50" t="s">
        <v>46</v>
      </c>
      <c r="B50" s="2">
        <f>VLOOKUP($A50,'County Totals'!$A:$D,2,FALSE)</f>
        <v>276.89999999999986</v>
      </c>
      <c r="C50" s="2">
        <f>VLOOKUP($A50,'County Totals'!$A:$D,3,FALSE)</f>
        <v>2251.648213912681</v>
      </c>
      <c r="D50" s="2">
        <f>VLOOKUP($A50,'County Totals'!$A:$D,4,FALSE)</f>
        <v>538932</v>
      </c>
      <c r="E50" s="4">
        <v>14</v>
      </c>
      <c r="F50" s="4">
        <v>422</v>
      </c>
      <c r="G50" s="4">
        <v>1157</v>
      </c>
      <c r="H50" s="3">
        <f t="shared" si="1"/>
        <v>1.1763498970922603</v>
      </c>
      <c r="I50" s="3">
        <f>SUM(E50:F50)/SUM('County Totals'!E49:F49)</f>
        <v>0.603042876901798</v>
      </c>
      <c r="J50">
        <f t="shared" si="2"/>
        <v>61</v>
      </c>
    </row>
    <row r="51" spans="1:10" ht="15">
      <c r="A51" t="s">
        <v>47</v>
      </c>
      <c r="B51" s="2">
        <f>VLOOKUP($A51,'County Totals'!$A:$D,2,FALSE)</f>
        <v>302.4299999999998</v>
      </c>
      <c r="C51" s="2">
        <f>VLOOKUP($A51,'County Totals'!$A:$D,3,FALSE)</f>
        <v>4587.441243366186</v>
      </c>
      <c r="D51" s="2">
        <f>VLOOKUP($A51,'County Totals'!$A:$D,4,FALSE)</f>
        <v>1210167</v>
      </c>
      <c r="E51" s="4">
        <v>8</v>
      </c>
      <c r="F51" s="4">
        <v>413</v>
      </c>
      <c r="G51" s="4">
        <v>1077</v>
      </c>
      <c r="H51" s="3">
        <f t="shared" si="1"/>
        <v>0.48764921395259475</v>
      </c>
      <c r="I51" s="3">
        <f>SUM(E51:F51)/SUM('County Totals'!E50:F50)</f>
        <v>0.4805936073059361</v>
      </c>
      <c r="J51">
        <f t="shared" si="2"/>
        <v>19</v>
      </c>
    </row>
    <row r="52" spans="1:10" ht="15">
      <c r="A52" t="s">
        <v>48</v>
      </c>
      <c r="B52" s="2">
        <f>VLOOKUP($A52,'County Totals'!$A:$D,2,FALSE)</f>
        <v>343.90999999999974</v>
      </c>
      <c r="C52" s="2">
        <f>VLOOKUP($A52,'County Totals'!$A:$D,3,FALSE)</f>
        <v>782.0900831378984</v>
      </c>
      <c r="D52" s="2">
        <f>VLOOKUP($A52,'County Totals'!$A:$D,4,FALSE)</f>
        <v>259449</v>
      </c>
      <c r="E52" s="4">
        <v>3</v>
      </c>
      <c r="F52" s="4">
        <v>177</v>
      </c>
      <c r="G52" s="4">
        <v>411</v>
      </c>
      <c r="H52" s="3">
        <f t="shared" si="1"/>
        <v>0.8680144438870637</v>
      </c>
      <c r="I52" s="3">
        <f>SUM(E52:F52)/SUM('County Totals'!E51:F51)</f>
        <v>0.8144796380090498</v>
      </c>
      <c r="J52">
        <f t="shared" si="2"/>
        <v>46</v>
      </c>
    </row>
    <row r="53" spans="1:10" ht="15">
      <c r="A53" t="s">
        <v>49</v>
      </c>
      <c r="B53" s="2">
        <f>VLOOKUP($A53,'County Totals'!$A:$D,2,FALSE)</f>
        <v>502.9199999999996</v>
      </c>
      <c r="C53" s="2">
        <f>VLOOKUP($A53,'County Totals'!$A:$D,3,FALSE)</f>
        <v>3432.4187411432604</v>
      </c>
      <c r="D53" s="2">
        <f>VLOOKUP($A53,'County Totals'!$A:$D,4,FALSE)</f>
        <v>1538084</v>
      </c>
      <c r="E53" s="4">
        <v>7</v>
      </c>
      <c r="F53" s="4">
        <v>756</v>
      </c>
      <c r="G53" s="4">
        <v>2460</v>
      </c>
      <c r="H53" s="3">
        <f t="shared" si="1"/>
        <v>0.8763794470779568</v>
      </c>
      <c r="I53" s="3">
        <f>SUM(E53:F53)/SUM('County Totals'!E52:F52)</f>
        <v>0.5218878248974008</v>
      </c>
      <c r="J53">
        <f t="shared" si="2"/>
        <v>47</v>
      </c>
    </row>
    <row r="54" spans="1:10" ht="15">
      <c r="A54" t="s">
        <v>50</v>
      </c>
      <c r="B54" s="2">
        <f>VLOOKUP($A54,'County Totals'!$A:$D,2,FALSE)</f>
        <v>389.6359999999992</v>
      </c>
      <c r="C54" s="2">
        <f>VLOOKUP($A54,'County Totals'!$A:$D,3,FALSE)</f>
        <v>1617.9403877469992</v>
      </c>
      <c r="D54" s="2">
        <f>VLOOKUP($A54,'County Totals'!$A:$D,4,FALSE)</f>
        <v>599112</v>
      </c>
      <c r="E54" s="4">
        <v>9</v>
      </c>
      <c r="F54" s="4">
        <v>186</v>
      </c>
      <c r="G54" s="4">
        <v>532</v>
      </c>
      <c r="H54" s="3">
        <f t="shared" si="1"/>
        <v>0.4865648648584381</v>
      </c>
      <c r="I54" s="3">
        <f>SUM(E54:F54)/SUM('County Totals'!E53:F53)</f>
        <v>0.703971119133574</v>
      </c>
      <c r="J54">
        <f t="shared" si="2"/>
        <v>18</v>
      </c>
    </row>
    <row r="55" spans="1:10" ht="15">
      <c r="A55" t="s">
        <v>51</v>
      </c>
      <c r="B55" s="2">
        <f>VLOOKUP($A55,'County Totals'!$A:$D,2,FALSE)</f>
        <v>351.76999999999987</v>
      </c>
      <c r="C55" s="2">
        <f>VLOOKUP($A55,'County Totals'!$A:$D,3,FALSE)</f>
        <v>2524.197990034408</v>
      </c>
      <c r="D55" s="2">
        <f>VLOOKUP($A55,'County Totals'!$A:$D,4,FALSE)</f>
        <v>779124</v>
      </c>
      <c r="E55" s="4">
        <v>8</v>
      </c>
      <c r="F55" s="4">
        <v>382</v>
      </c>
      <c r="G55" s="4">
        <v>1074</v>
      </c>
      <c r="H55" s="3">
        <f t="shared" si="1"/>
        <v>0.755326688287014</v>
      </c>
      <c r="I55" s="3">
        <f>SUM(E55:F55)/SUM('County Totals'!E54:F54)</f>
        <v>0.6701030927835051</v>
      </c>
      <c r="J55">
        <f t="shared" si="2"/>
        <v>37</v>
      </c>
    </row>
    <row r="56" spans="1:10" ht="15">
      <c r="A56" t="s">
        <v>52</v>
      </c>
      <c r="B56" s="2">
        <f>VLOOKUP($A56,'County Totals'!$A:$D,2,FALSE)</f>
        <v>259.35999999999996</v>
      </c>
      <c r="C56" s="2">
        <f>VLOOKUP($A56,'County Totals'!$A:$D,3,FALSE)</f>
        <v>442.6428431180053</v>
      </c>
      <c r="D56" s="2">
        <f>VLOOKUP($A56,'County Totals'!$A:$D,4,FALSE)</f>
        <v>112719</v>
      </c>
      <c r="E56" s="4">
        <v>4</v>
      </c>
      <c r="F56" s="4">
        <v>115</v>
      </c>
      <c r="G56" s="4">
        <v>256</v>
      </c>
      <c r="H56" s="3">
        <f t="shared" si="1"/>
        <v>1.2444572130939746</v>
      </c>
      <c r="I56" s="3">
        <f>SUM(E56:F56)/SUM('County Totals'!E55:F55)</f>
        <v>0.8880597014925373</v>
      </c>
      <c r="J56">
        <f t="shared" si="2"/>
        <v>62</v>
      </c>
    </row>
    <row r="57" spans="1:10" ht="15">
      <c r="A57" t="s">
        <v>53</v>
      </c>
      <c r="B57" s="2">
        <f>VLOOKUP($A57,'County Totals'!$A:$D,2,FALSE)</f>
        <v>399.80899999999946</v>
      </c>
      <c r="C57" s="2">
        <f>VLOOKUP($A57,'County Totals'!$A:$D,3,FALSE)</f>
        <v>489.8958873509119</v>
      </c>
      <c r="D57" s="2">
        <f>VLOOKUP($A57,'County Totals'!$A:$D,4,FALSE)</f>
        <v>184218</v>
      </c>
      <c r="E57" s="4">
        <v>4</v>
      </c>
      <c r="F57" s="4">
        <v>100</v>
      </c>
      <c r="G57" s="4">
        <v>250</v>
      </c>
      <c r="H57" s="3">
        <f t="shared" si="1"/>
        <v>0.7436097524121585</v>
      </c>
      <c r="I57" s="3">
        <f>SUM(E57:F57)/SUM('County Totals'!E56:F56)</f>
        <v>0.7591240875912408</v>
      </c>
      <c r="J57">
        <f t="shared" si="2"/>
        <v>35</v>
      </c>
    </row>
    <row r="58" spans="1:10" ht="15">
      <c r="A58" t="s">
        <v>54</v>
      </c>
      <c r="B58" s="2">
        <f>VLOOKUP($A58,'County Totals'!$A:$D,2,FALSE)</f>
        <v>447.6599999999993</v>
      </c>
      <c r="C58" s="2">
        <f>VLOOKUP($A58,'County Totals'!$A:$D,3,FALSE)</f>
        <v>2758.7248305028543</v>
      </c>
      <c r="D58" s="2">
        <f>VLOOKUP($A58,'County Totals'!$A:$D,4,FALSE)</f>
        <v>1081536</v>
      </c>
      <c r="E58" s="4">
        <v>9</v>
      </c>
      <c r="F58" s="4">
        <v>201</v>
      </c>
      <c r="G58" s="4">
        <v>796</v>
      </c>
      <c r="H58" s="3">
        <f t="shared" si="1"/>
        <v>0.403282353580134</v>
      </c>
      <c r="I58" s="3">
        <f>SUM(E58:F58)/SUM('County Totals'!E57:F57)</f>
        <v>0.658307210031348</v>
      </c>
      <c r="J58">
        <f t="shared" si="2"/>
        <v>14</v>
      </c>
    </row>
    <row r="59" spans="1:10" ht="15">
      <c r="A59" t="s">
        <v>55</v>
      </c>
      <c r="B59" s="2">
        <f>VLOOKUP($A59,'County Totals'!$A:$D,2,FALSE)</f>
        <v>372.2200000000002</v>
      </c>
      <c r="C59" s="2">
        <f>VLOOKUP($A59,'County Totals'!$A:$D,3,FALSE)</f>
        <v>217.56302758250752</v>
      </c>
      <c r="D59" s="2">
        <f>VLOOKUP($A59,'County Totals'!$A:$D,4,FALSE)</f>
        <v>77063</v>
      </c>
      <c r="E59" s="4">
        <v>1</v>
      </c>
      <c r="F59" s="4">
        <v>32</v>
      </c>
      <c r="G59" s="4">
        <v>131</v>
      </c>
      <c r="H59" s="3">
        <f t="shared" si="1"/>
        <v>0.9314563658021128</v>
      </c>
      <c r="I59" s="3">
        <f>SUM(E59:F59)/SUM('County Totals'!E58:F58)</f>
        <v>0.9166666666666666</v>
      </c>
      <c r="J59">
        <f t="shared" si="2"/>
        <v>54</v>
      </c>
    </row>
    <row r="60" spans="1:10" ht="15">
      <c r="A60" t="s">
        <v>56</v>
      </c>
      <c r="B60" s="2">
        <f>VLOOKUP($A60,'County Totals'!$A:$D,2,FALSE)</f>
        <v>339.02</v>
      </c>
      <c r="C60" s="2">
        <f>VLOOKUP($A60,'County Totals'!$A:$D,3,FALSE)</f>
        <v>4306.20358163491</v>
      </c>
      <c r="D60" s="2">
        <f>VLOOKUP($A60,'County Totals'!$A:$D,4,FALSE)</f>
        <v>1051773</v>
      </c>
      <c r="E60" s="4">
        <v>24</v>
      </c>
      <c r="F60" s="4">
        <v>651</v>
      </c>
      <c r="G60" s="4">
        <v>1741</v>
      </c>
      <c r="H60" s="3">
        <f t="shared" si="1"/>
        <v>0.9070137783910844</v>
      </c>
      <c r="I60" s="3">
        <f>SUM(E60:F60)/SUM('County Totals'!E59:F59)</f>
        <v>0.5327545382794001</v>
      </c>
      <c r="J60">
        <f t="shared" si="2"/>
        <v>52</v>
      </c>
    </row>
    <row r="61" spans="1:10" ht="15">
      <c r="A61" t="s">
        <v>57</v>
      </c>
      <c r="B61" s="2">
        <f>VLOOKUP($A61,'County Totals'!$A:$D,2,FALSE)</f>
        <v>345.28899999999976</v>
      </c>
      <c r="C61" s="2">
        <f>VLOOKUP($A61,'County Totals'!$A:$D,3,FALSE)</f>
        <v>614.5977014846153</v>
      </c>
      <c r="D61" s="2">
        <f>VLOOKUP($A61,'County Totals'!$A:$D,4,FALSE)</f>
        <v>210756</v>
      </c>
      <c r="E61" s="4">
        <v>1</v>
      </c>
      <c r="F61" s="4">
        <v>36</v>
      </c>
      <c r="G61" s="4">
        <v>116</v>
      </c>
      <c r="H61" s="3">
        <f t="shared" si="1"/>
        <v>0.3015887748657995</v>
      </c>
      <c r="I61" s="3">
        <f>SUM(E61:F61)/SUM('County Totals'!E60:F60)</f>
        <v>0.8604651162790697</v>
      </c>
      <c r="J61">
        <f t="shared" si="2"/>
        <v>6</v>
      </c>
    </row>
    <row r="62" spans="1:10" ht="15">
      <c r="A62" t="s">
        <v>58</v>
      </c>
      <c r="B62" s="2">
        <f>VLOOKUP($A62,'County Totals'!$A:$D,2,FALSE)</f>
        <v>379.4699999999997</v>
      </c>
      <c r="C62" s="2">
        <f>VLOOKUP($A62,'County Totals'!$A:$D,3,FALSE)</f>
        <v>635.6978057307116</v>
      </c>
      <c r="D62" s="2">
        <f>VLOOKUP($A62,'County Totals'!$A:$D,4,FALSE)</f>
        <v>235301</v>
      </c>
      <c r="E62" s="4">
        <v>8</v>
      </c>
      <c r="F62" s="4">
        <v>151</v>
      </c>
      <c r="G62" s="4">
        <v>407</v>
      </c>
      <c r="H62" s="3">
        <f t="shared" si="1"/>
        <v>0.9477804965985566</v>
      </c>
      <c r="I62" s="3">
        <f>SUM(E62:F62)/SUM('County Totals'!E61:F61)</f>
        <v>0.7644230769230769</v>
      </c>
      <c r="J62">
        <f t="shared" si="2"/>
        <v>55</v>
      </c>
    </row>
    <row r="63" spans="1:10" ht="15">
      <c r="A63" t="s">
        <v>59</v>
      </c>
      <c r="B63" s="2">
        <f>VLOOKUP($A63,'County Totals'!$A:$D,2,FALSE)</f>
        <v>546.0919999999991</v>
      </c>
      <c r="C63" s="2">
        <f>VLOOKUP($A63,'County Totals'!$A:$D,3,FALSE)</f>
        <v>1820.7500062657964</v>
      </c>
      <c r="D63" s="2">
        <f>VLOOKUP($A63,'County Totals'!$A:$D,4,FALSE)</f>
        <v>944403</v>
      </c>
      <c r="E63" s="4">
        <v>5</v>
      </c>
      <c r="F63" s="4">
        <v>427</v>
      </c>
      <c r="G63" s="4">
        <v>1234</v>
      </c>
      <c r="H63" s="3">
        <f t="shared" si="1"/>
        <v>0.7159701775212953</v>
      </c>
      <c r="I63" s="3">
        <f>SUM(E63:F63)/SUM('County Totals'!E62:F62)</f>
        <v>0.8709677419354839</v>
      </c>
      <c r="J63">
        <f t="shared" si="2"/>
        <v>33</v>
      </c>
    </row>
    <row r="64" spans="1:10" ht="15">
      <c r="A64" t="s">
        <v>60</v>
      </c>
      <c r="B64" s="2">
        <f>VLOOKUP($A64,'County Totals'!$A:$D,2,FALSE)</f>
        <v>268.68999999999994</v>
      </c>
      <c r="C64" s="2">
        <f>VLOOKUP($A64,'County Totals'!$A:$D,3,FALSE)</f>
        <v>292.69691216923013</v>
      </c>
      <c r="D64" s="2">
        <f>VLOOKUP($A64,'County Totals'!$A:$D,4,FALSE)</f>
        <v>75548</v>
      </c>
      <c r="E64" s="4">
        <v>1</v>
      </c>
      <c r="F64" s="4">
        <v>16</v>
      </c>
      <c r="G64" s="4">
        <v>37</v>
      </c>
      <c r="H64" s="3">
        <f t="shared" si="1"/>
        <v>0.268358826213</v>
      </c>
      <c r="I64" s="3">
        <f>SUM(E64:F64)/SUM('County Totals'!E63:F63)</f>
        <v>1</v>
      </c>
      <c r="J64">
        <f t="shared" si="2"/>
        <v>2</v>
      </c>
    </row>
    <row r="65" spans="1:10" ht="15">
      <c r="A65" t="s">
        <v>61</v>
      </c>
      <c r="B65" s="2">
        <f>VLOOKUP($A65,'County Totals'!$A:$D,2,FALSE)</f>
        <v>165.336</v>
      </c>
      <c r="C65" s="2">
        <f>VLOOKUP($A65,'County Totals'!$A:$D,3,FALSE)</f>
        <v>3472.0475236477064</v>
      </c>
      <c r="D65" s="2">
        <f>VLOOKUP($A65,'County Totals'!$A:$D,4,FALSE)</f>
        <v>547653</v>
      </c>
      <c r="E65" s="4">
        <v>3</v>
      </c>
      <c r="F65" s="4">
        <v>94</v>
      </c>
      <c r="G65" s="4">
        <v>271</v>
      </c>
      <c r="H65" s="3">
        <f t="shared" si="1"/>
        <v>0.2711445946337033</v>
      </c>
      <c r="I65" s="3">
        <f>SUM(E65:F65)/SUM('County Totals'!E64:F64)</f>
        <v>0.6689655172413793</v>
      </c>
      <c r="J65">
        <f t="shared" si="2"/>
        <v>3</v>
      </c>
    </row>
    <row r="66" spans="1:10" ht="15">
      <c r="A66" t="s">
        <v>62</v>
      </c>
      <c r="B66" s="2">
        <f>VLOOKUP($A66,'County Totals'!$A:$D,2,FALSE)</f>
        <v>337.92999999999955</v>
      </c>
      <c r="C66" s="2">
        <f>VLOOKUP($A66,'County Totals'!$A:$D,3,FALSE)</f>
        <v>590.6857259932872</v>
      </c>
      <c r="D66" s="2">
        <f>VLOOKUP($A66,'County Totals'!$A:$D,4,FALSE)</f>
        <v>187398</v>
      </c>
      <c r="E66" s="4">
        <v>1</v>
      </c>
      <c r="F66" s="4">
        <v>82</v>
      </c>
      <c r="G66" s="4">
        <v>216</v>
      </c>
      <c r="H66" s="3">
        <f t="shared" si="1"/>
        <v>0.6315764543034699</v>
      </c>
      <c r="I66" s="3">
        <f>SUM(E66:F66)/SUM('County Totals'!E65:F65)</f>
        <v>0.83</v>
      </c>
      <c r="J66">
        <f t="shared" si="2"/>
        <v>29</v>
      </c>
    </row>
    <row r="67" spans="1:10" ht="15">
      <c r="A67" t="s">
        <v>63</v>
      </c>
      <c r="B67" s="2">
        <f>VLOOKUP($A67,'County Totals'!$A:$D,2,FALSE)</f>
        <v>336.1090000000001</v>
      </c>
      <c r="C67" s="2">
        <f>VLOOKUP($A67,'County Totals'!$A:$D,3,FALSE)</f>
        <v>293.4908119164658</v>
      </c>
      <c r="D67" s="2">
        <f>VLOOKUP($A67,'County Totals'!$A:$D,4,FALSE)</f>
        <v>88960</v>
      </c>
      <c r="E67" s="4">
        <v>4</v>
      </c>
      <c r="F67" s="4">
        <v>204</v>
      </c>
      <c r="G67" s="4">
        <v>502</v>
      </c>
      <c r="H67" s="3">
        <f t="shared" si="1"/>
        <v>3.092046910416872</v>
      </c>
      <c r="I67" s="3">
        <f>SUM(E67:F67)/SUM('County Totals'!E66:F66)</f>
        <v>0.8927038626609443</v>
      </c>
      <c r="J67">
        <f t="shared" si="2"/>
        <v>88</v>
      </c>
    </row>
    <row r="68" spans="1:10" ht="15">
      <c r="A68" t="s">
        <v>64</v>
      </c>
      <c r="B68" s="2">
        <f>VLOOKUP($A68,'County Totals'!$A:$D,2,FALSE)</f>
        <v>258.23999999999995</v>
      </c>
      <c r="C68" s="2">
        <f>VLOOKUP($A68,'County Totals'!$A:$D,3,FALSE)</f>
        <v>913.396340770484</v>
      </c>
      <c r="D68" s="2">
        <f>VLOOKUP($A68,'County Totals'!$A:$D,4,FALSE)</f>
        <v>192902</v>
      </c>
      <c r="E68" s="4">
        <v>15</v>
      </c>
      <c r="F68" s="4">
        <v>162</v>
      </c>
      <c r="G68" s="4">
        <v>455</v>
      </c>
      <c r="H68" s="3">
        <f t="shared" si="1"/>
        <v>1.2924441866499605</v>
      </c>
      <c r="I68" s="3">
        <f>SUM(E68:F68)/SUM('County Totals'!E67:F67)</f>
        <v>0.7901785714285714</v>
      </c>
      <c r="J68">
        <f aca="true" t="shared" si="3" ref="J68:J91">_xlfn.RANK.AVG(H68,H$1:H$65536,1)</f>
        <v>64</v>
      </c>
    </row>
    <row r="69" spans="1:10" ht="15">
      <c r="A69" t="s">
        <v>65</v>
      </c>
      <c r="B69" s="2">
        <f>VLOOKUP($A69,'County Totals'!$A:$D,2,FALSE)</f>
        <v>355.03</v>
      </c>
      <c r="C69" s="2">
        <f>VLOOKUP($A69,'County Totals'!$A:$D,3,FALSE)</f>
        <v>440.7539461115788</v>
      </c>
      <c r="D69" s="2">
        <f>VLOOKUP($A69,'County Totals'!$A:$D,4,FALSE)</f>
        <v>139812</v>
      </c>
      <c r="E69" s="4">
        <v>10</v>
      </c>
      <c r="F69" s="4">
        <v>233</v>
      </c>
      <c r="G69" s="4">
        <v>607</v>
      </c>
      <c r="H69" s="3">
        <f aca="true" t="shared" si="4" ref="H69:H91">G69*1000000/(5*365*$B69*$D69/$B69)</f>
        <v>2.378928416201952</v>
      </c>
      <c r="I69" s="3">
        <f>SUM(E69:F69)/SUM('County Totals'!E68:F68)</f>
        <v>0.9169811320754717</v>
      </c>
      <c r="J69">
        <f t="shared" si="3"/>
        <v>81</v>
      </c>
    </row>
    <row r="70" spans="1:10" ht="15">
      <c r="A70" t="s">
        <v>66</v>
      </c>
      <c r="B70" s="2">
        <f>VLOOKUP($A70,'County Totals'!$A:$D,2,FALSE)</f>
        <v>376.62999999999937</v>
      </c>
      <c r="C70" s="2">
        <f>VLOOKUP($A70,'County Totals'!$A:$D,3,FALSE)</f>
        <v>6158.959992357024</v>
      </c>
      <c r="D70" s="2">
        <f>VLOOKUP($A70,'County Totals'!$A:$D,4,FALSE)</f>
        <v>2191863</v>
      </c>
      <c r="E70" s="4">
        <v>4</v>
      </c>
      <c r="F70" s="4">
        <v>474</v>
      </c>
      <c r="G70" s="4">
        <v>1307</v>
      </c>
      <c r="H70" s="3">
        <f t="shared" si="4"/>
        <v>0.3267377493765093</v>
      </c>
      <c r="I70" s="3">
        <f>SUM(E70:F70)/SUM('County Totals'!E69:F69)</f>
        <v>0.6947674418604651</v>
      </c>
      <c r="J70">
        <f t="shared" si="3"/>
        <v>8</v>
      </c>
    </row>
    <row r="71" spans="1:10" ht="15">
      <c r="A71" t="s">
        <v>67</v>
      </c>
      <c r="B71" s="2">
        <f>VLOOKUP($A71,'County Totals'!$A:$D,2,FALSE)</f>
        <v>291.17600000000004</v>
      </c>
      <c r="C71" s="2">
        <f>VLOOKUP($A71,'County Totals'!$A:$D,3,FALSE)</f>
        <v>333.5426560979462</v>
      </c>
      <c r="D71" s="2">
        <f>VLOOKUP($A71,'County Totals'!$A:$D,4,FALSE)</f>
        <v>80203</v>
      </c>
      <c r="E71" s="4">
        <v>13</v>
      </c>
      <c r="F71" s="4">
        <v>169</v>
      </c>
      <c r="G71" s="4">
        <v>416</v>
      </c>
      <c r="H71" s="3">
        <f t="shared" si="4"/>
        <v>2.84210323154311</v>
      </c>
      <c r="I71" s="3">
        <f>SUM(E71:F71)/SUM('County Totals'!E70:F70)</f>
        <v>0.883495145631068</v>
      </c>
      <c r="J71">
        <f t="shared" si="3"/>
        <v>87</v>
      </c>
    </row>
    <row r="72" spans="1:10" ht="15">
      <c r="A72" t="s">
        <v>68</v>
      </c>
      <c r="B72" s="2">
        <f>VLOOKUP($A72,'County Totals'!$A:$D,2,FALSE)</f>
        <v>338.4009999999998</v>
      </c>
      <c r="C72" s="2">
        <f>VLOOKUP($A72,'County Totals'!$A:$D,3,FALSE)</f>
        <v>881.4318376948704</v>
      </c>
      <c r="D72" s="2">
        <f>VLOOKUP($A72,'County Totals'!$A:$D,4,FALSE)</f>
        <v>280268</v>
      </c>
      <c r="E72" s="4">
        <v>1</v>
      </c>
      <c r="F72" s="4">
        <v>52</v>
      </c>
      <c r="G72" s="4">
        <v>154</v>
      </c>
      <c r="H72" s="3">
        <f t="shared" si="4"/>
        <v>0.3010816848296474</v>
      </c>
      <c r="I72" s="3">
        <f>SUM(E72:F72)/SUM('County Totals'!E71:F71)</f>
        <v>0.726027397260274</v>
      </c>
      <c r="J72">
        <f t="shared" si="3"/>
        <v>5</v>
      </c>
    </row>
    <row r="73" spans="1:10" ht="15">
      <c r="A73" t="s">
        <v>69</v>
      </c>
      <c r="B73" s="2">
        <f>VLOOKUP($A73,'County Totals'!$A:$D,2,FALSE)</f>
        <v>360.74</v>
      </c>
      <c r="C73" s="2">
        <f>VLOOKUP($A73,'County Totals'!$A:$D,3,FALSE)</f>
        <v>2868.511061777541</v>
      </c>
      <c r="D73" s="2">
        <f>VLOOKUP($A73,'County Totals'!$A:$D,4,FALSE)</f>
        <v>936784</v>
      </c>
      <c r="E73" s="4">
        <v>3</v>
      </c>
      <c r="F73" s="4">
        <v>317</v>
      </c>
      <c r="G73" s="4">
        <v>950</v>
      </c>
      <c r="H73" s="3">
        <f t="shared" si="4"/>
        <v>0.5556755294768906</v>
      </c>
      <c r="I73" s="3">
        <f>SUM(E73:F73)/SUM('County Totals'!E72:F72)</f>
        <v>0.6881720430107527</v>
      </c>
      <c r="J73">
        <f t="shared" si="3"/>
        <v>26</v>
      </c>
    </row>
    <row r="74" spans="1:10" ht="15">
      <c r="A74" t="s">
        <v>70</v>
      </c>
      <c r="B74" s="2">
        <f>VLOOKUP($A74,'County Totals'!$A:$D,2,FALSE)</f>
        <v>457.32000000000016</v>
      </c>
      <c r="C74" s="2">
        <f>VLOOKUP($A74,'County Totals'!$A:$D,3,FALSE)</f>
        <v>770.5371858261226</v>
      </c>
      <c r="D74" s="2">
        <f>VLOOKUP($A74,'County Totals'!$A:$D,4,FALSE)</f>
        <v>299215</v>
      </c>
      <c r="E74" s="4">
        <v>15</v>
      </c>
      <c r="F74" s="4">
        <v>528</v>
      </c>
      <c r="G74" s="4">
        <v>1323</v>
      </c>
      <c r="H74" s="3">
        <f t="shared" si="4"/>
        <v>2.4227779584890965</v>
      </c>
      <c r="I74" s="3">
        <f>SUM(E74:F74)/SUM('County Totals'!E73:F73)</f>
        <v>0.8660287081339713</v>
      </c>
      <c r="J74">
        <f t="shared" si="3"/>
        <v>82</v>
      </c>
    </row>
    <row r="75" spans="1:10" ht="15">
      <c r="A75" t="s">
        <v>71</v>
      </c>
      <c r="B75" s="2">
        <f>VLOOKUP($A75,'County Totals'!$A:$D,2,FALSE)</f>
        <v>325.2519999999994</v>
      </c>
      <c r="C75" s="2">
        <f>VLOOKUP($A75,'County Totals'!$A:$D,3,FALSE)</f>
        <v>975.4681306116271</v>
      </c>
      <c r="D75" s="2">
        <f>VLOOKUP($A75,'County Totals'!$A:$D,4,FALSE)</f>
        <v>283234</v>
      </c>
      <c r="E75" s="4">
        <v>8</v>
      </c>
      <c r="F75" s="4">
        <v>178</v>
      </c>
      <c r="G75" s="4">
        <v>457</v>
      </c>
      <c r="H75" s="3">
        <f t="shared" si="4"/>
        <v>0.8841133441045553</v>
      </c>
      <c r="I75" s="3">
        <f>SUM(E75:F75)/SUM('County Totals'!E74:F74)</f>
        <v>0.7209302325581395</v>
      </c>
      <c r="J75">
        <f t="shared" si="3"/>
        <v>49</v>
      </c>
    </row>
    <row r="76" spans="1:10" ht="15">
      <c r="A76" t="s">
        <v>72</v>
      </c>
      <c r="B76" s="2">
        <f>VLOOKUP($A76,'County Totals'!$A:$D,2,FALSE)</f>
        <v>418.70699999999977</v>
      </c>
      <c r="C76" s="2">
        <f>VLOOKUP($A76,'County Totals'!$A:$D,3,FALSE)</f>
        <v>792.0507253528077</v>
      </c>
      <c r="D76" s="2">
        <f>VLOOKUP($A76,'County Totals'!$A:$D,4,FALSE)</f>
        <v>321034</v>
      </c>
      <c r="E76" s="4">
        <v>14</v>
      </c>
      <c r="F76" s="4">
        <v>504</v>
      </c>
      <c r="G76" s="4">
        <v>1318</v>
      </c>
      <c r="H76" s="3">
        <f t="shared" si="4"/>
        <v>2.249580358534977</v>
      </c>
      <c r="I76" s="3">
        <f>SUM(E76:F76)/SUM('County Totals'!E75:F75)</f>
        <v>0.7685459940652819</v>
      </c>
      <c r="J76">
        <f t="shared" si="3"/>
        <v>79</v>
      </c>
    </row>
    <row r="77" spans="1:10" ht="15">
      <c r="A77" t="s">
        <v>73</v>
      </c>
      <c r="B77" s="2">
        <f>VLOOKUP($A77,'County Totals'!$A:$D,2,FALSE)</f>
        <v>397.922999999999</v>
      </c>
      <c r="C77" s="2">
        <f>VLOOKUP($A77,'County Totals'!$A:$D,3,FALSE)</f>
        <v>750.8919664719082</v>
      </c>
      <c r="D77" s="2">
        <f>VLOOKUP($A77,'County Totals'!$A:$D,4,FALSE)</f>
        <v>289803</v>
      </c>
      <c r="E77" s="4">
        <v>2</v>
      </c>
      <c r="F77" s="4">
        <v>154</v>
      </c>
      <c r="G77" s="4">
        <v>376</v>
      </c>
      <c r="H77" s="3">
        <f t="shared" si="4"/>
        <v>0.7109222377279532</v>
      </c>
      <c r="I77" s="3">
        <f>SUM(E77:F77)/SUM('County Totals'!E76:F76)</f>
        <v>0.8125</v>
      </c>
      <c r="J77">
        <f t="shared" si="3"/>
        <v>32</v>
      </c>
    </row>
    <row r="78" spans="1:10" ht="15">
      <c r="A78" t="s">
        <v>74</v>
      </c>
      <c r="B78" s="2">
        <f>VLOOKUP($A78,'County Totals'!$A:$D,2,FALSE)</f>
        <v>418.1529999999995</v>
      </c>
      <c r="C78" s="2">
        <f>VLOOKUP($A78,'County Totals'!$A:$D,3,FALSE)</f>
        <v>971.4711020965548</v>
      </c>
      <c r="D78" s="2">
        <f>VLOOKUP($A78,'County Totals'!$A:$D,4,FALSE)</f>
        <v>387003</v>
      </c>
      <c r="E78" s="4">
        <v>7</v>
      </c>
      <c r="F78" s="4">
        <v>197</v>
      </c>
      <c r="G78" s="4">
        <v>530</v>
      </c>
      <c r="H78" s="3">
        <f t="shared" si="4"/>
        <v>0.7504100973483658</v>
      </c>
      <c r="I78" s="3">
        <f>SUM(E78:F78)/SUM('County Totals'!E77:F77)</f>
        <v>0.7727272727272727</v>
      </c>
      <c r="J78">
        <f t="shared" si="3"/>
        <v>36</v>
      </c>
    </row>
    <row r="79" spans="1:10" ht="15">
      <c r="A79" t="s">
        <v>75</v>
      </c>
      <c r="B79" s="2">
        <f>VLOOKUP($A79,'County Totals'!$A:$D,2,FALSE)</f>
        <v>420.9699999999995</v>
      </c>
      <c r="C79" s="2">
        <f>VLOOKUP($A79,'County Totals'!$A:$D,3,FALSE)</f>
        <v>5959.840774096216</v>
      </c>
      <c r="D79" s="2">
        <f>VLOOKUP($A79,'County Totals'!$A:$D,4,FALSE)</f>
        <v>2196398</v>
      </c>
      <c r="E79" s="4">
        <v>31</v>
      </c>
      <c r="F79" s="4">
        <v>1154</v>
      </c>
      <c r="G79" s="4">
        <v>3831</v>
      </c>
      <c r="H79" s="3">
        <f t="shared" si="4"/>
        <v>0.9557366571048511</v>
      </c>
      <c r="I79" s="3">
        <f>SUM(E79:F79)/SUM('County Totals'!E78:F78)</f>
        <v>0.517467248908297</v>
      </c>
      <c r="J79">
        <f t="shared" si="3"/>
        <v>56</v>
      </c>
    </row>
    <row r="80" spans="1:10" ht="15">
      <c r="A80" t="s">
        <v>76</v>
      </c>
      <c r="B80" s="2">
        <f>VLOOKUP($A80,'County Totals'!$A:$D,2,FALSE)</f>
        <v>198.27000000000024</v>
      </c>
      <c r="C80" s="2">
        <f>VLOOKUP($A80,'County Totals'!$A:$D,3,FALSE)</f>
        <v>8856.096007556946</v>
      </c>
      <c r="D80" s="2">
        <f>VLOOKUP($A80,'County Totals'!$A:$D,4,FALSE)</f>
        <v>1237542</v>
      </c>
      <c r="E80" s="4">
        <v>10</v>
      </c>
      <c r="F80" s="4">
        <v>378</v>
      </c>
      <c r="G80" s="4">
        <v>1206</v>
      </c>
      <c r="H80" s="3">
        <f t="shared" si="4"/>
        <v>0.5339793864032245</v>
      </c>
      <c r="I80" s="3">
        <f>SUM(E80:F80)/SUM('County Totals'!E79:F79)</f>
        <v>0.563953488372093</v>
      </c>
      <c r="J80">
        <f t="shared" si="3"/>
        <v>22</v>
      </c>
    </row>
    <row r="81" spans="1:10" ht="15">
      <c r="A81" t="s">
        <v>77</v>
      </c>
      <c r="B81" s="2">
        <f>VLOOKUP($A81,'County Totals'!$A:$D,2,FALSE)</f>
        <v>467.90999999999855</v>
      </c>
      <c r="C81" s="2">
        <f>VLOOKUP($A81,'County Totals'!$A:$D,3,FALSE)</f>
        <v>2153.379663017113</v>
      </c>
      <c r="D81" s="2">
        <f>VLOOKUP($A81,'County Totals'!$A:$D,4,FALSE)</f>
        <v>853983</v>
      </c>
      <c r="E81" s="4">
        <v>17</v>
      </c>
      <c r="F81" s="4">
        <v>577</v>
      </c>
      <c r="G81" s="4">
        <v>1554</v>
      </c>
      <c r="H81" s="3">
        <f t="shared" si="4"/>
        <v>0.9971004684110439</v>
      </c>
      <c r="I81" s="3">
        <f>SUM(E81:F81)/SUM('County Totals'!E80:F80)</f>
        <v>0.6556291390728477</v>
      </c>
      <c r="J81">
        <f t="shared" si="3"/>
        <v>57</v>
      </c>
    </row>
    <row r="82" spans="1:10" ht="15">
      <c r="A82" t="s">
        <v>78</v>
      </c>
      <c r="B82" s="2">
        <f>VLOOKUP($A82,'County Totals'!$A:$D,2,FALSE)</f>
        <v>475.5799999999995</v>
      </c>
      <c r="C82" s="2">
        <f>VLOOKUP($A82,'County Totals'!$A:$D,3,FALSE)</f>
        <v>673.9198290871007</v>
      </c>
      <c r="D82" s="2">
        <f>VLOOKUP($A82,'County Totals'!$A:$D,4,FALSE)</f>
        <v>291471</v>
      </c>
      <c r="E82" s="4">
        <v>9</v>
      </c>
      <c r="F82" s="4">
        <v>462</v>
      </c>
      <c r="G82" s="4">
        <v>1257</v>
      </c>
      <c r="H82" s="3">
        <f t="shared" si="4"/>
        <v>2.3630725639520613</v>
      </c>
      <c r="I82" s="3">
        <f>SUM(E82:F82)/SUM('County Totals'!E81:F81)</f>
        <v>0.8937381404174574</v>
      </c>
      <c r="J82">
        <f t="shared" si="3"/>
        <v>80</v>
      </c>
    </row>
    <row r="83" spans="1:10" ht="15">
      <c r="A83" t="s">
        <v>79</v>
      </c>
      <c r="B83" s="2">
        <f>VLOOKUP($A83,'County Totals'!$A:$D,2,FALSE)</f>
        <v>466.4499999999996</v>
      </c>
      <c r="C83" s="2">
        <f>VLOOKUP($A83,'County Totals'!$A:$D,3,FALSE)</f>
        <v>852.7784093542986</v>
      </c>
      <c r="D83" s="2">
        <f>VLOOKUP($A83,'County Totals'!$A:$D,4,FALSE)</f>
        <v>386318</v>
      </c>
      <c r="E83" s="4">
        <v>9</v>
      </c>
      <c r="F83" s="4">
        <v>153</v>
      </c>
      <c r="G83" s="4">
        <v>444</v>
      </c>
      <c r="H83" s="3">
        <f t="shared" si="4"/>
        <v>0.6297601230925731</v>
      </c>
      <c r="I83" s="3">
        <f>SUM(E83:F83)/SUM('County Totals'!E82:F82)</f>
        <v>0.6835443037974683</v>
      </c>
      <c r="J83">
        <f t="shared" si="3"/>
        <v>28</v>
      </c>
    </row>
    <row r="84" spans="1:10" ht="15">
      <c r="A84" t="s">
        <v>80</v>
      </c>
      <c r="B84" s="2">
        <f>VLOOKUP($A84,'County Totals'!$A:$D,2,FALSE)</f>
        <v>275.1689999999996</v>
      </c>
      <c r="C84" s="2">
        <f>VLOOKUP($A84,'County Totals'!$A:$D,3,FALSE)</f>
        <v>1166.5358558347496</v>
      </c>
      <c r="D84" s="2">
        <f>VLOOKUP($A84,'County Totals'!$A:$D,4,FALSE)</f>
        <v>298744</v>
      </c>
      <c r="E84" s="4">
        <v>0</v>
      </c>
      <c r="F84" s="4">
        <v>67</v>
      </c>
      <c r="G84" s="4">
        <v>181</v>
      </c>
      <c r="H84" s="3">
        <f t="shared" si="4"/>
        <v>0.33198351160786765</v>
      </c>
      <c r="I84" s="3">
        <f>SUM(E84:F84)/SUM('County Totals'!E83:F83)</f>
        <v>0.6504854368932039</v>
      </c>
      <c r="J84">
        <f t="shared" si="3"/>
        <v>10</v>
      </c>
    </row>
    <row r="85" spans="1:10" ht="15">
      <c r="A85" t="s">
        <v>81</v>
      </c>
      <c r="B85" s="2">
        <f>VLOOKUP($A85,'County Totals'!$A:$D,2,FALSE)</f>
        <v>198.83000000000004</v>
      </c>
      <c r="C85" s="2">
        <f>VLOOKUP($A85,'County Totals'!$A:$D,3,FALSE)</f>
        <v>194.80254910154613</v>
      </c>
      <c r="D85" s="2">
        <f>VLOOKUP($A85,'County Totals'!$A:$D,4,FALSE)</f>
        <v>37293</v>
      </c>
      <c r="E85" s="4">
        <v>3</v>
      </c>
      <c r="F85" s="4">
        <v>67</v>
      </c>
      <c r="G85" s="4">
        <v>168</v>
      </c>
      <c r="H85" s="3">
        <f t="shared" si="4"/>
        <v>2.4684202000522335</v>
      </c>
      <c r="I85" s="3">
        <f>SUM(E85:F85)/SUM('County Totals'!E84:F84)</f>
        <v>0.8974358974358975</v>
      </c>
      <c r="J85">
        <f t="shared" si="3"/>
        <v>83</v>
      </c>
    </row>
    <row r="86" spans="1:10" ht="15">
      <c r="A86" t="s">
        <v>82</v>
      </c>
      <c r="B86" s="2">
        <f>VLOOKUP($A86,'County Totals'!$A:$D,2,FALSE)</f>
        <v>273.74999999999966</v>
      </c>
      <c r="C86" s="2">
        <f>VLOOKUP($A86,'County Totals'!$A:$D,3,FALSE)</f>
        <v>5986.866587324206</v>
      </c>
      <c r="D86" s="2">
        <f>VLOOKUP($A86,'County Totals'!$A:$D,4,FALSE)</f>
        <v>1428634</v>
      </c>
      <c r="E86" s="4">
        <v>10</v>
      </c>
      <c r="F86" s="4">
        <v>573</v>
      </c>
      <c r="G86" s="4">
        <v>1898</v>
      </c>
      <c r="H86" s="3">
        <f t="shared" si="4"/>
        <v>0.7279681149965631</v>
      </c>
      <c r="I86" s="3">
        <f>SUM(E86:F86)/SUM('County Totals'!E85:F85)</f>
        <v>0.5749506903353058</v>
      </c>
      <c r="J86">
        <f t="shared" si="3"/>
        <v>34</v>
      </c>
    </row>
    <row r="87" spans="1:10" ht="15">
      <c r="A87" t="s">
        <v>83</v>
      </c>
      <c r="B87" s="2">
        <f>VLOOKUP($A87,'County Totals'!$A:$D,2,FALSE)</f>
        <v>341.60899999999947</v>
      </c>
      <c r="C87" s="2">
        <f>VLOOKUP($A87,'County Totals'!$A:$D,3,FALSE)</f>
        <v>1210.0448569866019</v>
      </c>
      <c r="D87" s="2">
        <f>VLOOKUP($A87,'County Totals'!$A:$D,4,FALSE)</f>
        <v>404904</v>
      </c>
      <c r="E87" s="4">
        <v>3</v>
      </c>
      <c r="F87" s="4">
        <v>198</v>
      </c>
      <c r="G87" s="4">
        <v>571</v>
      </c>
      <c r="H87" s="3">
        <f t="shared" si="4"/>
        <v>0.7727182550154288</v>
      </c>
      <c r="I87" s="3">
        <f>SUM(E87:F87)/SUM('County Totals'!E86:F86)</f>
        <v>0.8481012658227848</v>
      </c>
      <c r="J87">
        <f t="shared" si="3"/>
        <v>40</v>
      </c>
    </row>
    <row r="88" spans="1:10" ht="15">
      <c r="A88" t="s">
        <v>84</v>
      </c>
      <c r="B88" s="2">
        <f>VLOOKUP($A88,'County Totals'!$A:$D,2,FALSE)</f>
        <v>521.5439999999983</v>
      </c>
      <c r="C88" s="2">
        <f>VLOOKUP($A88,'County Totals'!$A:$D,3,FALSE)</f>
        <v>2295.9690961965975</v>
      </c>
      <c r="D88" s="2">
        <f>VLOOKUP($A88,'County Totals'!$A:$D,4,FALSE)</f>
        <v>1106090</v>
      </c>
      <c r="E88" s="4">
        <v>13</v>
      </c>
      <c r="F88" s="4">
        <v>593</v>
      </c>
      <c r="G88" s="4">
        <v>1535</v>
      </c>
      <c r="H88" s="3">
        <f t="shared" si="4"/>
        <v>0.7604226513312289</v>
      </c>
      <c r="I88" s="3">
        <f>SUM(E88:F88)/SUM('County Totals'!E87:F87)</f>
        <v>0.7087719298245614</v>
      </c>
      <c r="J88">
        <f t="shared" si="3"/>
        <v>39</v>
      </c>
    </row>
    <row r="89" spans="1:10" ht="15">
      <c r="A89" t="s">
        <v>85</v>
      </c>
      <c r="B89" s="2">
        <f>VLOOKUP($A89,'County Totals'!$A:$D,2,FALSE)</f>
        <v>408.7499999999999</v>
      </c>
      <c r="C89" s="2">
        <f>VLOOKUP($A89,'County Totals'!$A:$D,3,FALSE)</f>
        <v>863.3237399262753</v>
      </c>
      <c r="D89" s="2">
        <f>VLOOKUP($A89,'County Totals'!$A:$D,4,FALSE)</f>
        <v>333268</v>
      </c>
      <c r="E89" s="4">
        <v>3</v>
      </c>
      <c r="F89" s="4">
        <v>120</v>
      </c>
      <c r="G89" s="4">
        <v>350</v>
      </c>
      <c r="H89" s="3">
        <f t="shared" si="4"/>
        <v>0.5754552549834014</v>
      </c>
      <c r="I89" s="3">
        <f>SUM(E89:F89)/SUM('County Totals'!E88:F88)</f>
        <v>0.7784810126582279</v>
      </c>
      <c r="J89">
        <f t="shared" si="3"/>
        <v>27</v>
      </c>
    </row>
    <row r="90" spans="1:10" ht="15">
      <c r="A90" t="s">
        <v>86</v>
      </c>
      <c r="B90" s="2">
        <f>VLOOKUP($A90,'County Totals'!$A:$D,2,FALSE)</f>
        <v>254.06999999999974</v>
      </c>
      <c r="C90" s="2">
        <f>VLOOKUP($A90,'County Totals'!$A:$D,3,FALSE)</f>
        <v>2660.9407099410582</v>
      </c>
      <c r="D90" s="2">
        <f>VLOOKUP($A90,'County Totals'!$A:$D,4,FALSE)</f>
        <v>594526</v>
      </c>
      <c r="E90" s="4">
        <v>6</v>
      </c>
      <c r="F90" s="4">
        <v>165</v>
      </c>
      <c r="G90" s="4">
        <v>416</v>
      </c>
      <c r="H90" s="3">
        <f t="shared" si="4"/>
        <v>0.3834066222157686</v>
      </c>
      <c r="I90" s="3">
        <f>SUM(E90:F90)/SUM('County Totals'!E89:F89)</f>
        <v>0.6758893280632411</v>
      </c>
      <c r="J90">
        <f t="shared" si="3"/>
        <v>13</v>
      </c>
    </row>
    <row r="91" spans="1:10" ht="15">
      <c r="A91" t="s">
        <v>87</v>
      </c>
      <c r="B91" s="2">
        <f>VLOOKUP($A91,'County Totals'!$A:$D,2,FALSE)</f>
        <v>347.6099999999994</v>
      </c>
      <c r="C91" s="2">
        <f>VLOOKUP($A91,'County Totals'!$A:$D,3,FALSE)</f>
        <v>505.34056511048595</v>
      </c>
      <c r="D91" s="2">
        <f>VLOOKUP($A91,'County Totals'!$A:$D,4,FALSE)</f>
        <v>154756</v>
      </c>
      <c r="E91" s="4">
        <v>1</v>
      </c>
      <c r="F91" s="4">
        <v>44</v>
      </c>
      <c r="G91" s="4">
        <v>107</v>
      </c>
      <c r="H91" s="3">
        <f t="shared" si="4"/>
        <v>0.3788553399306094</v>
      </c>
      <c r="I91" s="3">
        <f>SUM(E91:F91)/SUM('County Totals'!E90:F90)</f>
        <v>0.8035714285714286</v>
      </c>
      <c r="J91">
        <f t="shared" si="3"/>
        <v>12</v>
      </c>
    </row>
    <row r="92" spans="5:6" ht="15">
      <c r="E92" s="4">
        <v>714</v>
      </c>
      <c r="F92" s="4">
        <v>28142</v>
      </c>
    </row>
  </sheetData>
  <sheetProtection/>
  <autoFilter ref="A3:J91"/>
  <mergeCells count="2">
    <mergeCell ref="E1:J1"/>
    <mergeCell ref="E2:J2"/>
  </mergeCells>
  <printOptions/>
  <pageMargins left="0.7" right="0.7" top="0.75" bottom="0.75" header="0.3" footer="0.3"/>
  <pageSetup horizontalDpi="600" verticalDpi="600" orientation="portrait" r:id="rId1"/>
  <ignoredErrors>
    <ignoredError sqref="I4:I91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Q91"/>
  <sheetViews>
    <sheetView zoomScalePageLayoutView="0" workbookViewId="0" topLeftCell="A1">
      <selection activeCell="A5" sqref="A5"/>
    </sheetView>
  </sheetViews>
  <sheetFormatPr defaultColWidth="9.140625" defaultRowHeight="15"/>
  <cols>
    <col min="2" max="2" width="9.28125" style="0" bestFit="1" customWidth="1"/>
    <col min="3" max="3" width="10.57421875" style="0" bestFit="1" customWidth="1"/>
    <col min="4" max="4" width="13.8515625" style="0" bestFit="1" customWidth="1"/>
    <col min="5" max="6" width="9.28125" style="4" bestFit="1" customWidth="1"/>
    <col min="7" max="7" width="11.7109375" style="0" customWidth="1"/>
    <col min="8" max="8" width="9.28125" style="4" bestFit="1" customWidth="1"/>
    <col min="9" max="10" width="9.28125" style="4" customWidth="1"/>
  </cols>
  <sheetData>
    <row r="1" spans="5:10" ht="15" customHeight="1">
      <c r="E1" s="147" t="s">
        <v>96</v>
      </c>
      <c r="F1" s="147"/>
      <c r="G1" s="147"/>
      <c r="H1" s="147"/>
      <c r="I1" s="147"/>
      <c r="J1" s="147"/>
    </row>
    <row r="2" spans="5:10" ht="51" customHeight="1">
      <c r="E2" s="148" t="s">
        <v>157</v>
      </c>
      <c r="F2" s="148"/>
      <c r="G2" s="148"/>
      <c r="H2" s="148"/>
      <c r="I2" s="148"/>
      <c r="J2" s="148"/>
    </row>
    <row r="3" spans="1:10" ht="105">
      <c r="A3" s="5" t="s">
        <v>88</v>
      </c>
      <c r="B3" s="5" t="s">
        <v>175</v>
      </c>
      <c r="C3" s="5" t="s">
        <v>90</v>
      </c>
      <c r="D3" s="5" t="s">
        <v>89</v>
      </c>
      <c r="E3" s="6" t="s">
        <v>93</v>
      </c>
      <c r="F3" s="6" t="s">
        <v>94</v>
      </c>
      <c r="G3" s="6" t="s">
        <v>92</v>
      </c>
      <c r="H3" s="5" t="s">
        <v>91</v>
      </c>
      <c r="I3" s="5" t="s">
        <v>115</v>
      </c>
      <c r="J3" s="5" t="s">
        <v>155</v>
      </c>
    </row>
    <row r="4" spans="1:17" ht="15">
      <c r="A4" t="s">
        <v>0</v>
      </c>
      <c r="B4" s="2">
        <f>VLOOKUP($A4,'County Totals'!$A:$D,2,FALSE)</f>
        <v>377.30399999999906</v>
      </c>
      <c r="C4" s="2">
        <f>VLOOKUP($A4,'County Totals'!$A:$D,3,FALSE)</f>
        <v>608.1891900729158</v>
      </c>
      <c r="D4" s="2">
        <f>VLOOKUP($A4,'County Totals'!$A:$D,4,FALSE)</f>
        <v>223203</v>
      </c>
      <c r="E4" s="4">
        <v>5</v>
      </c>
      <c r="F4" s="4">
        <v>126</v>
      </c>
      <c r="G4" s="4">
        <v>339</v>
      </c>
      <c r="H4" s="3">
        <f>G4*1000000/(5*365*$B4*$D4/$B4)</f>
        <v>0.8322174193784772</v>
      </c>
      <c r="I4" s="3">
        <f>SUM(E4:F4)/SUM('County Totals'!E3:F3)</f>
        <v>0.8291139240506329</v>
      </c>
      <c r="J4">
        <f aca="true" t="shared" si="0" ref="J4:J35">_xlfn.RANK.AVG(H4,H$1:H$65536,1)</f>
        <v>55</v>
      </c>
      <c r="K4" s="1"/>
      <c r="L4" s="1"/>
      <c r="M4" s="38"/>
      <c r="N4" s="1"/>
      <c r="O4" s="1"/>
      <c r="P4" s="1"/>
      <c r="Q4" s="1"/>
    </row>
    <row r="5" spans="1:17" ht="15">
      <c r="A5" t="s">
        <v>1</v>
      </c>
      <c r="B5" s="2">
        <f>VLOOKUP($A5,'County Totals'!$A:$D,2,FALSE)</f>
        <v>359.6099999999995</v>
      </c>
      <c r="C5" s="2">
        <f>VLOOKUP($A5,'County Totals'!$A:$D,3,FALSE)</f>
        <v>5407.204861111106</v>
      </c>
      <c r="D5" s="2">
        <f>VLOOKUP($A5,'County Totals'!$A:$D,4,FALSE)</f>
        <v>1868730</v>
      </c>
      <c r="E5" s="4">
        <v>5</v>
      </c>
      <c r="F5" s="4">
        <v>243</v>
      </c>
      <c r="G5" s="4">
        <v>777</v>
      </c>
      <c r="H5" s="3">
        <f aca="true" t="shared" si="1" ref="H5:H68">G5*1000000/(5*365*$B5*$D5/$B5)</f>
        <v>0.2278303578673935</v>
      </c>
      <c r="I5" s="3">
        <f>SUM(E5:F5)/SUM('County Totals'!E4:F4)</f>
        <v>0.4283246977547496</v>
      </c>
      <c r="J5">
        <f t="shared" si="0"/>
        <v>2</v>
      </c>
      <c r="K5" s="1"/>
      <c r="L5" s="1"/>
      <c r="M5" s="38"/>
      <c r="N5" s="1"/>
      <c r="O5" s="1"/>
      <c r="P5" s="1"/>
      <c r="Q5" s="1"/>
    </row>
    <row r="6" spans="1:17" ht="15">
      <c r="A6" t="s">
        <v>2</v>
      </c>
      <c r="B6" s="2">
        <f>VLOOKUP($A6,'County Totals'!$A:$D,2,FALSE)</f>
        <v>288.3299999999999</v>
      </c>
      <c r="C6" s="2">
        <f>VLOOKUP($A6,'County Totals'!$A:$D,3,FALSE)</f>
        <v>926.2897544709402</v>
      </c>
      <c r="D6" s="2">
        <f>VLOOKUP($A6,'County Totals'!$A:$D,4,FALSE)</f>
        <v>251672</v>
      </c>
      <c r="E6" s="4">
        <v>1</v>
      </c>
      <c r="F6" s="4">
        <v>137</v>
      </c>
      <c r="G6" s="4">
        <v>365</v>
      </c>
      <c r="H6" s="3">
        <f t="shared" si="1"/>
        <v>0.7946851457452557</v>
      </c>
      <c r="I6" s="3">
        <f>SUM(E6:F6)/SUM('County Totals'!E5:F5)</f>
        <v>0.7582417582417582</v>
      </c>
      <c r="J6">
        <f t="shared" si="0"/>
        <v>52</v>
      </c>
      <c r="K6" s="1"/>
      <c r="L6" s="1"/>
      <c r="M6" s="38"/>
      <c r="N6" s="1"/>
      <c r="O6" s="1"/>
      <c r="P6" s="1"/>
      <c r="Q6" s="1"/>
    </row>
    <row r="7" spans="1:17" ht="15">
      <c r="A7" t="s">
        <v>3</v>
      </c>
      <c r="B7" s="2">
        <f>VLOOKUP($A7,'County Totals'!$A:$D,2,FALSE)</f>
        <v>361.53999999999985</v>
      </c>
      <c r="C7" s="2">
        <f>VLOOKUP($A7,'County Totals'!$A:$D,3,FALSE)</f>
        <v>455.3112172361901</v>
      </c>
      <c r="D7" s="2">
        <f>VLOOKUP($A7,'County Totals'!$A:$D,4,FALSE)</f>
        <v>153403</v>
      </c>
      <c r="E7" s="4">
        <v>11</v>
      </c>
      <c r="F7" s="4">
        <v>246</v>
      </c>
      <c r="G7" s="4">
        <v>651</v>
      </c>
      <c r="H7" s="3">
        <f t="shared" si="1"/>
        <v>2.3253282449960118</v>
      </c>
      <c r="I7" s="3">
        <f>SUM(E7:F7)/SUM('County Totals'!E6:F6)</f>
        <v>0.7060439560439561</v>
      </c>
      <c r="J7">
        <f t="shared" si="0"/>
        <v>83</v>
      </c>
      <c r="K7" s="1"/>
      <c r="L7" s="1"/>
      <c r="M7" s="38"/>
      <c r="N7" s="1"/>
      <c r="O7" s="1"/>
      <c r="P7" s="1"/>
      <c r="Q7" s="1"/>
    </row>
    <row r="8" spans="1:17" ht="15">
      <c r="A8" t="s">
        <v>4</v>
      </c>
      <c r="B8" s="2">
        <f>VLOOKUP($A8,'County Totals'!$A:$D,2,FALSE)</f>
        <v>373.2369999999999</v>
      </c>
      <c r="C8" s="2">
        <f>VLOOKUP($A8,'County Totals'!$A:$D,3,FALSE)</f>
        <v>577.4467476769123</v>
      </c>
      <c r="D8" s="2">
        <f>VLOOKUP($A8,'County Totals'!$A:$D,4,FALSE)</f>
        <v>201962</v>
      </c>
      <c r="E8" s="4">
        <v>2</v>
      </c>
      <c r="F8" s="4">
        <v>196</v>
      </c>
      <c r="G8" s="4">
        <v>516</v>
      </c>
      <c r="H8" s="3">
        <f t="shared" si="1"/>
        <v>1.3999649737445523</v>
      </c>
      <c r="I8" s="3">
        <f>SUM(E8:F8)/SUM('County Totals'!E7:F7)</f>
        <v>0.8284518828451883</v>
      </c>
      <c r="J8">
        <f t="shared" si="0"/>
        <v>70</v>
      </c>
      <c r="K8" s="1"/>
      <c r="L8" s="1"/>
      <c r="M8" s="38"/>
      <c r="N8" s="1"/>
      <c r="O8" s="1"/>
      <c r="P8" s="1"/>
      <c r="Q8" s="1"/>
    </row>
    <row r="9" spans="1:17" ht="15">
      <c r="A9" t="s">
        <v>5</v>
      </c>
      <c r="B9" s="2">
        <f>VLOOKUP($A9,'County Totals'!$A:$D,2,FALSE)</f>
        <v>380.6559999999998</v>
      </c>
      <c r="C9" s="2">
        <f>VLOOKUP($A9,'County Totals'!$A:$D,3,FALSE)</f>
        <v>727.3612405853719</v>
      </c>
      <c r="D9" s="2">
        <f>VLOOKUP($A9,'County Totals'!$A:$D,4,FALSE)</f>
        <v>245779</v>
      </c>
      <c r="E9" s="4">
        <v>3</v>
      </c>
      <c r="F9" s="4">
        <v>107</v>
      </c>
      <c r="G9" s="4">
        <v>215</v>
      </c>
      <c r="H9" s="3">
        <f t="shared" si="1"/>
        <v>0.4793258137517127</v>
      </c>
      <c r="I9" s="3">
        <f>SUM(E9:F9)/SUM('County Totals'!E8:F8)</f>
        <v>0.7096774193548387</v>
      </c>
      <c r="J9">
        <f t="shared" si="0"/>
        <v>26</v>
      </c>
      <c r="K9" s="1"/>
      <c r="L9" s="1"/>
      <c r="M9" s="38"/>
      <c r="N9" s="1"/>
      <c r="O9" s="1"/>
      <c r="P9" s="1"/>
      <c r="Q9" s="1"/>
    </row>
    <row r="10" spans="1:17" ht="15">
      <c r="A10" t="s">
        <v>6</v>
      </c>
      <c r="B10" s="2">
        <f>VLOOKUP($A10,'County Totals'!$A:$D,2,FALSE)</f>
        <v>312.1900000000003</v>
      </c>
      <c r="C10" s="2">
        <f>VLOOKUP($A10,'County Totals'!$A:$D,3,FALSE)</f>
        <v>971.4884840151246</v>
      </c>
      <c r="D10" s="2">
        <f>VLOOKUP($A10,'County Totals'!$A:$D,4,FALSE)</f>
        <v>282606</v>
      </c>
      <c r="E10" s="4">
        <v>6</v>
      </c>
      <c r="F10" s="4">
        <v>233</v>
      </c>
      <c r="G10" s="4">
        <v>697</v>
      </c>
      <c r="H10" s="3">
        <f t="shared" si="1"/>
        <v>1.3514143656510411</v>
      </c>
      <c r="I10" s="3">
        <f>SUM(E10:F10)/SUM('County Totals'!E9:F9)</f>
        <v>0.8385964912280702</v>
      </c>
      <c r="J10">
        <f t="shared" si="0"/>
        <v>69</v>
      </c>
      <c r="K10" s="1"/>
      <c r="L10" s="1"/>
      <c r="M10" s="38"/>
      <c r="N10" s="1"/>
      <c r="O10" s="1"/>
      <c r="P10" s="1"/>
      <c r="Q10" s="1"/>
    </row>
    <row r="11" spans="1:17" ht="15">
      <c r="A11" t="s">
        <v>7</v>
      </c>
      <c r="B11" s="2">
        <f>VLOOKUP($A11,'County Totals'!$A:$D,2,FALSE)</f>
        <v>338.9509999999999</v>
      </c>
      <c r="C11" s="2">
        <f>VLOOKUP($A11,'County Totals'!$A:$D,3,FALSE)</f>
        <v>1099.2955731307122</v>
      </c>
      <c r="D11" s="2">
        <f>VLOOKUP($A11,'County Totals'!$A:$D,4,FALSE)</f>
        <v>361112</v>
      </c>
      <c r="E11" s="4">
        <v>2</v>
      </c>
      <c r="F11" s="4">
        <v>197</v>
      </c>
      <c r="G11" s="4">
        <v>518</v>
      </c>
      <c r="H11" s="3">
        <f t="shared" si="1"/>
        <v>0.7860043876646474</v>
      </c>
      <c r="I11" s="3">
        <f>SUM(E11:F11)/SUM('County Totals'!E10:F10)</f>
        <v>0.6677852348993288</v>
      </c>
      <c r="J11">
        <f t="shared" si="0"/>
        <v>51</v>
      </c>
      <c r="K11" s="1"/>
      <c r="L11" s="1"/>
      <c r="M11" s="38"/>
      <c r="N11" s="1"/>
      <c r="O11" s="1"/>
      <c r="P11" s="1"/>
      <c r="Q11" s="1"/>
    </row>
    <row r="12" spans="1:17" ht="15">
      <c r="A12" t="s">
        <v>8</v>
      </c>
      <c r="B12" s="2">
        <f>VLOOKUP($A12,'County Totals'!$A:$D,2,FALSE)</f>
        <v>272.3199999999999</v>
      </c>
      <c r="C12" s="2">
        <f>VLOOKUP($A12,'County Totals'!$A:$D,3,FALSE)</f>
        <v>9815.053547388938</v>
      </c>
      <c r="D12" s="2">
        <f>VLOOKUP($A12,'County Totals'!$A:$D,4,FALSE)</f>
        <v>2442427</v>
      </c>
      <c r="E12" s="4">
        <v>15</v>
      </c>
      <c r="F12" s="4">
        <v>572</v>
      </c>
      <c r="G12" s="4">
        <v>1725</v>
      </c>
      <c r="H12" s="3">
        <f t="shared" si="1"/>
        <v>0.38699436235025847</v>
      </c>
      <c r="I12" s="3">
        <f>SUM(E12:F12)/SUM('County Totals'!E11:F11)</f>
        <v>0.43643122676579926</v>
      </c>
      <c r="J12">
        <f t="shared" si="0"/>
        <v>20</v>
      </c>
      <c r="K12" s="1"/>
      <c r="L12" s="1"/>
      <c r="M12" s="38"/>
      <c r="N12" s="1"/>
      <c r="O12" s="1"/>
      <c r="P12" s="1"/>
      <c r="Q12" s="1"/>
    </row>
    <row r="13" spans="1:17" ht="15">
      <c r="A13" t="s">
        <v>9</v>
      </c>
      <c r="B13" s="2">
        <f>VLOOKUP($A13,'County Totals'!$A:$D,2,FALSE)</f>
        <v>331.13999999999993</v>
      </c>
      <c r="C13" s="2">
        <f>VLOOKUP($A13,'County Totals'!$A:$D,3,FALSE)</f>
        <v>307.4579551521623</v>
      </c>
      <c r="D13" s="2">
        <f>VLOOKUP($A13,'County Totals'!$A:$D,4,FALSE)</f>
        <v>92139</v>
      </c>
      <c r="E13" s="4">
        <v>2</v>
      </c>
      <c r="F13" s="4">
        <v>100</v>
      </c>
      <c r="G13" s="4">
        <v>333</v>
      </c>
      <c r="H13" s="3">
        <f t="shared" si="1"/>
        <v>1.9803313843720631</v>
      </c>
      <c r="I13" s="3">
        <f>SUM(E13:F13)/SUM('County Totals'!E12:F12)</f>
        <v>0.816</v>
      </c>
      <c r="J13">
        <f t="shared" si="0"/>
        <v>77</v>
      </c>
      <c r="K13" s="1"/>
      <c r="L13" s="1"/>
      <c r="M13" s="38"/>
      <c r="N13" s="1"/>
      <c r="O13" s="1"/>
      <c r="P13" s="1"/>
      <c r="Q13" s="1"/>
    </row>
    <row r="14" spans="1:17" ht="15">
      <c r="A14" t="s">
        <v>10</v>
      </c>
      <c r="B14" s="2">
        <f>VLOOKUP($A14,'County Totals'!$A:$D,2,FALSE)</f>
        <v>250.74500000000012</v>
      </c>
      <c r="C14" s="2">
        <f>VLOOKUP($A14,'County Totals'!$A:$D,3,FALSE)</f>
        <v>886.110254263429</v>
      </c>
      <c r="D14" s="2">
        <f>VLOOKUP($A14,'County Totals'!$A:$D,4,FALSE)</f>
        <v>201085</v>
      </c>
      <c r="E14" s="4">
        <v>5</v>
      </c>
      <c r="F14" s="4">
        <v>82</v>
      </c>
      <c r="G14" s="4">
        <v>249</v>
      </c>
      <c r="H14" s="3">
        <f t="shared" si="1"/>
        <v>0.6785108594096206</v>
      </c>
      <c r="I14" s="3">
        <f>SUM(E14:F14)/SUM('County Totals'!E13:F13)</f>
        <v>0.6744186046511628</v>
      </c>
      <c r="J14">
        <f t="shared" si="0"/>
        <v>44</v>
      </c>
      <c r="K14" s="1"/>
      <c r="L14" s="1"/>
      <c r="M14" s="38"/>
      <c r="N14" s="1"/>
      <c r="O14" s="1"/>
      <c r="P14" s="1"/>
      <c r="Q14" s="1"/>
    </row>
    <row r="15" spans="1:17" ht="15">
      <c r="A15" t="s">
        <v>11</v>
      </c>
      <c r="B15" s="2">
        <f>VLOOKUP($A15,'County Totals'!$A:$D,2,FALSE)</f>
        <v>310.8709999999994</v>
      </c>
      <c r="C15" s="2">
        <f>VLOOKUP($A15,'County Totals'!$A:$D,3,FALSE)</f>
        <v>6962.082705554087</v>
      </c>
      <c r="D15" s="2">
        <f>VLOOKUP($A15,'County Totals'!$A:$D,4,FALSE)</f>
        <v>2028549</v>
      </c>
      <c r="E15" s="4">
        <v>15</v>
      </c>
      <c r="F15" s="4">
        <v>284</v>
      </c>
      <c r="G15" s="4">
        <v>853</v>
      </c>
      <c r="H15" s="3">
        <f t="shared" si="1"/>
        <v>0.23040964762200597</v>
      </c>
      <c r="I15" s="3">
        <f>SUM(E15:F15)/SUM('County Totals'!E14:F14)</f>
        <v>0.5282685512367491</v>
      </c>
      <c r="J15">
        <f t="shared" si="0"/>
        <v>3</v>
      </c>
      <c r="K15" s="1"/>
      <c r="L15" s="1"/>
      <c r="M15" s="38"/>
      <c r="N15" s="1"/>
      <c r="O15" s="1"/>
      <c r="P15" s="1"/>
      <c r="Q15" s="1"/>
    </row>
    <row r="16" spans="1:17" ht="15">
      <c r="A16" t="s">
        <v>12</v>
      </c>
      <c r="B16" s="2">
        <f>VLOOKUP($A16,'County Totals'!$A:$D,2,FALSE)</f>
        <v>384.63</v>
      </c>
      <c r="C16" s="2">
        <f>VLOOKUP($A16,'County Totals'!$A:$D,3,FALSE)</f>
        <v>4332.061894563976</v>
      </c>
      <c r="D16" s="2">
        <f>VLOOKUP($A16,'County Totals'!$A:$D,4,FALSE)</f>
        <v>1561639</v>
      </c>
      <c r="E16" s="4">
        <v>19</v>
      </c>
      <c r="F16" s="4">
        <v>885</v>
      </c>
      <c r="G16" s="4">
        <v>2902</v>
      </c>
      <c r="H16" s="3">
        <f t="shared" si="1"/>
        <v>1.0182487670334628</v>
      </c>
      <c r="I16" s="3">
        <f>SUM(E16:F16)/SUM('County Totals'!E15:F15)</f>
        <v>0.534594914251922</v>
      </c>
      <c r="J16">
        <f t="shared" si="0"/>
        <v>61</v>
      </c>
      <c r="K16" s="1"/>
      <c r="L16" s="1"/>
      <c r="M16" s="38"/>
      <c r="N16" s="1"/>
      <c r="O16" s="1"/>
      <c r="P16" s="1"/>
      <c r="Q16" s="1"/>
    </row>
    <row r="17" spans="1:17" ht="15">
      <c r="A17" t="s">
        <v>13</v>
      </c>
      <c r="B17" s="2">
        <f>VLOOKUP($A17,'County Totals'!$A:$D,2,FALSE)</f>
        <v>266.40000000000003</v>
      </c>
      <c r="C17" s="2">
        <f>VLOOKUP($A17,'County Totals'!$A:$D,3,FALSE)</f>
        <v>807.7225906474994</v>
      </c>
      <c r="D17" s="2">
        <f>VLOOKUP($A17,'County Totals'!$A:$D,4,FALSE)</f>
        <v>199018</v>
      </c>
      <c r="E17" s="4">
        <v>0</v>
      </c>
      <c r="F17" s="4">
        <v>121</v>
      </c>
      <c r="G17" s="4">
        <v>305</v>
      </c>
      <c r="H17" s="3">
        <f t="shared" si="1"/>
        <v>0.8397395595937698</v>
      </c>
      <c r="I17" s="3">
        <f>SUM(E17:F17)/SUM('County Totals'!E16:F16)</f>
        <v>0.8231292517006803</v>
      </c>
      <c r="J17">
        <f t="shared" si="0"/>
        <v>56</v>
      </c>
      <c r="K17" s="1"/>
      <c r="L17" s="1"/>
      <c r="M17" s="38"/>
      <c r="N17" s="1"/>
      <c r="O17" s="1"/>
      <c r="P17" s="1"/>
      <c r="Q17" s="1"/>
    </row>
    <row r="18" spans="1:17" ht="15">
      <c r="A18" t="s">
        <v>14</v>
      </c>
      <c r="B18" s="2">
        <f>VLOOKUP($A18,'County Totals'!$A:$D,2,FALSE)</f>
        <v>169.76000000000005</v>
      </c>
      <c r="C18" s="2">
        <f>VLOOKUP($A18,'County Totals'!$A:$D,3,FALSE)</f>
        <v>1741.909243697479</v>
      </c>
      <c r="D18" s="2">
        <f>VLOOKUP($A18,'County Totals'!$A:$D,4,FALSE)</f>
        <v>259109</v>
      </c>
      <c r="E18" s="4">
        <v>8</v>
      </c>
      <c r="F18" s="4">
        <v>216</v>
      </c>
      <c r="G18" s="4">
        <v>584</v>
      </c>
      <c r="H18" s="3">
        <f t="shared" si="1"/>
        <v>1.2350014858611629</v>
      </c>
      <c r="I18" s="3">
        <f>SUM(E18:F18)/SUM('County Totals'!E17:F17)</f>
        <v>0.6549707602339181</v>
      </c>
      <c r="J18">
        <f t="shared" si="0"/>
        <v>66</v>
      </c>
      <c r="K18" s="1"/>
      <c r="L18" s="1"/>
      <c r="M18" s="38"/>
      <c r="N18" s="1"/>
      <c r="O18" s="1"/>
      <c r="P18" s="1"/>
      <c r="Q18" s="1"/>
    </row>
    <row r="19" spans="1:17" ht="15">
      <c r="A19" t="s">
        <v>15</v>
      </c>
      <c r="B19" s="2">
        <f>VLOOKUP($A19,'County Totals'!$A:$D,2,FALSE)</f>
        <v>360.34999999999985</v>
      </c>
      <c r="C19" s="2">
        <f>VLOOKUP($A19,'County Totals'!$A:$D,3,FALSE)</f>
        <v>490.6959159373184</v>
      </c>
      <c r="D19" s="2">
        <f>VLOOKUP($A19,'County Totals'!$A:$D,4,FALSE)</f>
        <v>169374</v>
      </c>
      <c r="E19" s="4">
        <v>11</v>
      </c>
      <c r="F19" s="4">
        <v>83</v>
      </c>
      <c r="G19" s="4">
        <v>257</v>
      </c>
      <c r="H19" s="3">
        <f t="shared" si="1"/>
        <v>0.8314258257360585</v>
      </c>
      <c r="I19" s="3">
        <f>SUM(E19:F19)/SUM('County Totals'!E18:F18)</f>
        <v>0.7580645161290323</v>
      </c>
      <c r="J19">
        <f t="shared" si="0"/>
        <v>54</v>
      </c>
      <c r="K19" s="1"/>
      <c r="L19" s="1"/>
      <c r="M19" s="38"/>
      <c r="N19" s="1"/>
      <c r="O19" s="1"/>
      <c r="P19" s="1"/>
      <c r="Q19" s="1"/>
    </row>
    <row r="20" spans="1:17" ht="15">
      <c r="A20" t="s">
        <v>16</v>
      </c>
      <c r="B20" s="2">
        <f>VLOOKUP($A20,'County Totals'!$A:$D,2,FALSE)</f>
        <v>251.70600000000002</v>
      </c>
      <c r="C20" s="2">
        <f>VLOOKUP($A20,'County Totals'!$A:$D,3,FALSE)</f>
        <v>1628.1272750631672</v>
      </c>
      <c r="D20" s="2">
        <f>VLOOKUP($A20,'County Totals'!$A:$D,4,FALSE)</f>
        <v>380184</v>
      </c>
      <c r="E20" s="4">
        <v>2</v>
      </c>
      <c r="F20" s="4">
        <v>85</v>
      </c>
      <c r="G20" s="4">
        <v>261</v>
      </c>
      <c r="H20" s="3">
        <f t="shared" si="1"/>
        <v>0.37616969317524407</v>
      </c>
      <c r="I20" s="3">
        <f>SUM(E20:F20)/SUM('County Totals'!E19:F19)</f>
        <v>0.725</v>
      </c>
      <c r="J20">
        <f t="shared" si="0"/>
        <v>18</v>
      </c>
      <c r="K20" s="1"/>
      <c r="L20" s="1"/>
      <c r="M20" s="38"/>
      <c r="N20" s="1"/>
      <c r="O20" s="1"/>
      <c r="P20" s="1"/>
      <c r="Q20" s="1"/>
    </row>
    <row r="21" spans="1:17" ht="15">
      <c r="A21" t="s">
        <v>17</v>
      </c>
      <c r="B21" s="2">
        <f>VLOOKUP($A21,'County Totals'!$A:$D,2,FALSE)</f>
        <v>24.26</v>
      </c>
      <c r="C21" s="2">
        <f>VLOOKUP($A21,'County Totals'!$A:$D,3,FALSE)</f>
        <v>9688.808426596446</v>
      </c>
      <c r="D21" s="2">
        <f>VLOOKUP($A21,'County Totals'!$A:$D,4,FALSE)</f>
        <v>147173</v>
      </c>
      <c r="E21" s="4">
        <v>1</v>
      </c>
      <c r="F21" s="4">
        <v>57</v>
      </c>
      <c r="G21" s="4">
        <v>174</v>
      </c>
      <c r="H21" s="3">
        <f t="shared" si="1"/>
        <v>0.6478257951759131</v>
      </c>
      <c r="I21" s="3">
        <f>SUM(E21:F21)/SUM('County Totals'!E20:F20)</f>
        <v>0.5225225225225225</v>
      </c>
      <c r="J21">
        <f t="shared" si="0"/>
        <v>41</v>
      </c>
      <c r="K21" s="1"/>
      <c r="L21" s="1"/>
      <c r="M21" s="38"/>
      <c r="N21" s="1"/>
      <c r="O21" s="1"/>
      <c r="P21" s="1"/>
      <c r="Q21" s="1"/>
    </row>
    <row r="22" spans="1:17" ht="15">
      <c r="A22" t="s">
        <v>18</v>
      </c>
      <c r="B22" s="2">
        <f>VLOOKUP($A22,'County Totals'!$A:$D,2,FALSE)</f>
        <v>579.3000000000002</v>
      </c>
      <c r="C22" s="2">
        <f>VLOOKUP($A22,'County Totals'!$A:$D,3,FALSE)</f>
        <v>358.73131535147445</v>
      </c>
      <c r="D22" s="2">
        <f>VLOOKUP($A22,'County Totals'!$A:$D,4,FALSE)</f>
        <v>180185</v>
      </c>
      <c r="E22" s="4">
        <v>9</v>
      </c>
      <c r="F22" s="4">
        <v>124</v>
      </c>
      <c r="G22" s="4">
        <v>443</v>
      </c>
      <c r="H22" s="3">
        <f t="shared" si="1"/>
        <v>1.3471694426694636</v>
      </c>
      <c r="I22" s="3">
        <f>SUM(E22:F22)/SUM('County Totals'!E21:F21)</f>
        <v>0.6751269035532995</v>
      </c>
      <c r="J22">
        <f t="shared" si="0"/>
        <v>68</v>
      </c>
      <c r="K22" s="1"/>
      <c r="L22" s="1"/>
      <c r="M22" s="38"/>
      <c r="N22" s="1"/>
      <c r="O22" s="1"/>
      <c r="P22" s="1"/>
      <c r="Q22" s="1"/>
    </row>
    <row r="23" spans="1:17" ht="15">
      <c r="A23" t="s">
        <v>19</v>
      </c>
      <c r="B23" s="2">
        <f>VLOOKUP($A23,'County Totals'!$A:$D,2,FALSE)</f>
        <v>342.11999999999983</v>
      </c>
      <c r="C23" s="2">
        <f>VLOOKUP($A23,'County Totals'!$A:$D,3,FALSE)</f>
        <v>826.9997843079481</v>
      </c>
      <c r="D23" s="2">
        <f>VLOOKUP($A23,'County Totals'!$A:$D,4,FALSE)</f>
        <v>272226</v>
      </c>
      <c r="E23" s="4">
        <v>4</v>
      </c>
      <c r="F23" s="4">
        <v>84</v>
      </c>
      <c r="G23" s="4">
        <v>230</v>
      </c>
      <c r="H23" s="3">
        <f t="shared" si="1"/>
        <v>0.4629513612229323</v>
      </c>
      <c r="I23" s="3">
        <f>SUM(E23:F23)/SUM('County Totals'!E22:F22)</f>
        <v>0.5714285714285714</v>
      </c>
      <c r="J23">
        <f t="shared" si="0"/>
        <v>23</v>
      </c>
      <c r="K23" s="1"/>
      <c r="L23" s="1"/>
      <c r="M23" s="38"/>
      <c r="N23" s="1"/>
      <c r="O23" s="1"/>
      <c r="P23" s="1"/>
      <c r="Q23" s="1"/>
    </row>
    <row r="24" spans="1:17" ht="15">
      <c r="A24" t="s">
        <v>20</v>
      </c>
      <c r="B24" s="2">
        <f>VLOOKUP($A24,'County Totals'!$A:$D,2,FALSE)</f>
        <v>341.84000000000003</v>
      </c>
      <c r="C24" s="2">
        <f>VLOOKUP($A24,'County Totals'!$A:$D,3,FALSE)</f>
        <v>3982.0600778787325</v>
      </c>
      <c r="D24" s="2">
        <f>VLOOKUP($A24,'County Totals'!$A:$D,4,FALSE)</f>
        <v>1288515</v>
      </c>
      <c r="E24" s="4">
        <v>9</v>
      </c>
      <c r="F24" s="4">
        <v>248</v>
      </c>
      <c r="G24" s="4">
        <v>713</v>
      </c>
      <c r="H24" s="3">
        <f t="shared" si="1"/>
        <v>0.30320557502772516</v>
      </c>
      <c r="I24" s="3">
        <f>SUM(E24:F24)/SUM('County Totals'!E23:F23)</f>
        <v>0.4047244094488189</v>
      </c>
      <c r="J24">
        <f t="shared" si="0"/>
        <v>13</v>
      </c>
      <c r="K24" s="1"/>
      <c r="L24" s="1"/>
      <c r="M24" s="38"/>
      <c r="N24" s="1"/>
      <c r="O24" s="1"/>
      <c r="P24" s="1"/>
      <c r="Q24" s="1"/>
    </row>
    <row r="25" spans="1:17" ht="15">
      <c r="A25" t="s">
        <v>21</v>
      </c>
      <c r="B25" s="2">
        <f>VLOOKUP($A25,'County Totals'!$A:$D,2,FALSE)</f>
        <v>147.53999999999985</v>
      </c>
      <c r="C25" s="2">
        <f>VLOOKUP($A25,'County Totals'!$A:$D,3,FALSE)</f>
        <v>10688.910739020916</v>
      </c>
      <c r="D25" s="2">
        <f>VLOOKUP($A25,'County Totals'!$A:$D,4,FALSE)</f>
        <v>1489318</v>
      </c>
      <c r="E25" s="4">
        <v>7</v>
      </c>
      <c r="F25" s="4">
        <v>126</v>
      </c>
      <c r="G25" s="4">
        <v>376</v>
      </c>
      <c r="H25" s="3">
        <f t="shared" si="1"/>
        <v>0.1383367402128182</v>
      </c>
      <c r="I25" s="3">
        <f>SUM(E25:F25)/SUM('County Totals'!E24:F24)</f>
        <v>0.4634146341463415</v>
      </c>
      <c r="J25">
        <f t="shared" si="0"/>
        <v>1</v>
      </c>
      <c r="K25" s="1"/>
      <c r="L25" s="1"/>
      <c r="M25" s="38"/>
      <c r="N25" s="1"/>
      <c r="O25" s="1"/>
      <c r="P25" s="1"/>
      <c r="Q25" s="1"/>
    </row>
    <row r="26" spans="1:17" ht="15">
      <c r="A26" t="s">
        <v>22</v>
      </c>
      <c r="B26" s="2">
        <f>VLOOKUP($A26,'County Totals'!$A:$D,2,FALSE)</f>
        <v>371.2100000000001</v>
      </c>
      <c r="C26" s="2">
        <f>VLOOKUP($A26,'County Totals'!$A:$D,3,FALSE)</f>
        <v>1364.5100607806496</v>
      </c>
      <c r="D26" s="2">
        <f>VLOOKUP($A26,'County Totals'!$A:$D,4,FALSE)</f>
        <v>439566</v>
      </c>
      <c r="E26" s="4">
        <v>20</v>
      </c>
      <c r="F26" s="4">
        <v>366</v>
      </c>
      <c r="G26" s="4">
        <v>834</v>
      </c>
      <c r="H26" s="3">
        <f t="shared" si="1"/>
        <v>1.039630684288282</v>
      </c>
      <c r="I26" s="3">
        <f>SUM(E26:F26)/SUM('County Totals'!E25:F25)</f>
        <v>0.5752608047690015</v>
      </c>
      <c r="J26">
        <f t="shared" si="0"/>
        <v>62</v>
      </c>
      <c r="K26" s="1"/>
      <c r="L26" s="1"/>
      <c r="M26" s="38"/>
      <c r="N26" s="1"/>
      <c r="O26" s="1"/>
      <c r="P26" s="1"/>
      <c r="Q26" s="1"/>
    </row>
    <row r="27" spans="1:17" ht="15">
      <c r="A27" t="s">
        <v>23</v>
      </c>
      <c r="B27" s="2">
        <f>VLOOKUP($A27,'County Totals'!$A:$D,2,FALSE)</f>
        <v>313.65599999999966</v>
      </c>
      <c r="C27" s="2">
        <f>VLOOKUP($A27,'County Totals'!$A:$D,3,FALSE)</f>
        <v>1053.0920401903597</v>
      </c>
      <c r="D27" s="2">
        <f>VLOOKUP($A27,'County Totals'!$A:$D,4,FALSE)</f>
        <v>316213</v>
      </c>
      <c r="E27" s="4">
        <v>4</v>
      </c>
      <c r="F27" s="4">
        <v>106</v>
      </c>
      <c r="G27" s="4">
        <v>283</v>
      </c>
      <c r="H27" s="3">
        <f t="shared" si="1"/>
        <v>0.49039253019542184</v>
      </c>
      <c r="I27" s="3">
        <f>SUM(E27:F27)/SUM('County Totals'!E26:F26)</f>
        <v>0.8396946564885496</v>
      </c>
      <c r="J27">
        <f t="shared" si="0"/>
        <v>27</v>
      </c>
      <c r="K27" s="1"/>
      <c r="L27" s="1"/>
      <c r="M27" s="38"/>
      <c r="N27" s="1"/>
      <c r="O27" s="1"/>
      <c r="P27" s="1"/>
      <c r="Q27" s="1"/>
    </row>
    <row r="28" spans="1:17" ht="15">
      <c r="A28" t="s">
        <v>24</v>
      </c>
      <c r="B28" s="2">
        <f>VLOOKUP($A28,'County Totals'!$A:$D,2,FALSE)</f>
        <v>274.15999999999974</v>
      </c>
      <c r="C28" s="2">
        <f>VLOOKUP($A28,'County Totals'!$A:$D,3,FALSE)</f>
        <v>6500.200549742232</v>
      </c>
      <c r="D28" s="2">
        <f>VLOOKUP($A28,'County Totals'!$A:$D,4,FALSE)</f>
        <v>1102005</v>
      </c>
      <c r="E28" s="4">
        <v>21</v>
      </c>
      <c r="F28" s="4">
        <v>561</v>
      </c>
      <c r="G28" s="4">
        <v>1520</v>
      </c>
      <c r="H28" s="3">
        <f t="shared" si="1"/>
        <v>0.7557830611737397</v>
      </c>
      <c r="I28" s="3">
        <f>SUM(E28:F28)/SUM('County Totals'!E27:F27)</f>
        <v>0.3669609079445145</v>
      </c>
      <c r="J28">
        <f t="shared" si="0"/>
        <v>48</v>
      </c>
      <c r="K28" s="1"/>
      <c r="L28" s="1"/>
      <c r="M28" s="38"/>
      <c r="N28" s="1"/>
      <c r="O28" s="1"/>
      <c r="P28" s="1"/>
      <c r="Q28" s="1"/>
    </row>
    <row r="29" spans="1:17" ht="15">
      <c r="A29" t="s">
        <v>25</v>
      </c>
      <c r="B29" s="2">
        <f>VLOOKUP($A29,'County Totals'!$A:$D,2,FALSE)</f>
        <v>381.6899999999999</v>
      </c>
      <c r="C29" s="2">
        <f>VLOOKUP($A29,'County Totals'!$A:$D,3,FALSE)</f>
        <v>1267.8401732634989</v>
      </c>
      <c r="D29" s="2">
        <f>VLOOKUP($A29,'County Totals'!$A:$D,4,FALSE)</f>
        <v>458948</v>
      </c>
      <c r="E29" s="4">
        <v>5</v>
      </c>
      <c r="F29" s="4">
        <v>125</v>
      </c>
      <c r="G29" s="4">
        <v>354</v>
      </c>
      <c r="H29" s="3">
        <f t="shared" si="1"/>
        <v>0.42264614452993815</v>
      </c>
      <c r="I29" s="3">
        <f>SUM(E29:F29)/SUM('County Totals'!E28:F28)</f>
        <v>0.5394190871369294</v>
      </c>
      <c r="J29">
        <f t="shared" si="0"/>
        <v>22</v>
      </c>
      <c r="K29" s="1"/>
      <c r="L29" s="1"/>
      <c r="M29" s="38"/>
      <c r="N29" s="1"/>
      <c r="O29" s="1"/>
      <c r="P29" s="1"/>
      <c r="Q29" s="1"/>
    </row>
    <row r="30" spans="1:17" ht="15">
      <c r="A30" t="s">
        <v>26</v>
      </c>
      <c r="B30" s="2">
        <f>VLOOKUP($A30,'County Totals'!$A:$D,2,FALSE)</f>
        <v>460.0999999999999</v>
      </c>
      <c r="C30" s="2">
        <f>VLOOKUP($A30,'County Totals'!$A:$D,3,FALSE)</f>
        <v>353.11672791037955</v>
      </c>
      <c r="D30" s="2">
        <f>VLOOKUP($A30,'County Totals'!$A:$D,4,FALSE)</f>
        <v>158078</v>
      </c>
      <c r="E30" s="4">
        <v>6</v>
      </c>
      <c r="F30" s="4">
        <v>182</v>
      </c>
      <c r="G30" s="4">
        <v>530</v>
      </c>
      <c r="H30" s="3">
        <f t="shared" si="1"/>
        <v>1.8371371025956147</v>
      </c>
      <c r="I30" s="3">
        <f>SUM(E30:F30)/SUM('County Totals'!E29:F29)</f>
        <v>0.8138528138528138</v>
      </c>
      <c r="J30">
        <f t="shared" si="0"/>
        <v>74</v>
      </c>
      <c r="K30" s="1"/>
      <c r="L30" s="1"/>
      <c r="M30" s="38"/>
      <c r="N30" s="1"/>
      <c r="O30" s="1"/>
      <c r="P30" s="1"/>
      <c r="Q30" s="1"/>
    </row>
    <row r="31" spans="1:17" ht="15">
      <c r="A31" t="s">
        <v>27</v>
      </c>
      <c r="B31" s="2">
        <f>VLOOKUP($A31,'County Totals'!$A:$D,2,FALSE)</f>
        <v>237.56999999999994</v>
      </c>
      <c r="C31" s="2">
        <f>VLOOKUP($A31,'County Totals'!$A:$D,3,FALSE)</f>
        <v>2421.1727137887087</v>
      </c>
      <c r="D31" s="2">
        <f>VLOOKUP($A31,'County Totals'!$A:$D,4,FALSE)</f>
        <v>533779</v>
      </c>
      <c r="E31" s="4">
        <v>8</v>
      </c>
      <c r="F31" s="4">
        <v>307</v>
      </c>
      <c r="G31" s="4">
        <v>914</v>
      </c>
      <c r="H31" s="3">
        <f t="shared" si="1"/>
        <v>0.9382570648306119</v>
      </c>
      <c r="I31" s="3">
        <f>SUM(E31:F31)/SUM('County Totals'!E30:F30)</f>
        <v>0.5635062611806798</v>
      </c>
      <c r="J31">
        <f t="shared" si="0"/>
        <v>59</v>
      </c>
      <c r="K31" s="1"/>
      <c r="L31" s="1"/>
      <c r="M31" s="38"/>
      <c r="N31" s="1"/>
      <c r="O31" s="1"/>
      <c r="P31" s="1"/>
      <c r="Q31" s="1"/>
    </row>
    <row r="32" spans="1:17" ht="15">
      <c r="A32" t="s">
        <v>28</v>
      </c>
      <c r="B32" s="2">
        <f>VLOOKUP($A32,'County Totals'!$A:$D,2,FALSE)</f>
        <v>327.07699999999954</v>
      </c>
      <c r="C32" s="2">
        <f>VLOOKUP($A32,'County Totals'!$A:$D,3,FALSE)</f>
        <v>7013.6265227647245</v>
      </c>
      <c r="D32" s="2">
        <f>VLOOKUP($A32,'County Totals'!$A:$D,4,FALSE)</f>
        <v>2170507</v>
      </c>
      <c r="E32" s="4">
        <v>8</v>
      </c>
      <c r="F32" s="4">
        <v>395</v>
      </c>
      <c r="G32" s="4">
        <v>1053</v>
      </c>
      <c r="H32" s="3">
        <f t="shared" si="1"/>
        <v>0.26583019606472724</v>
      </c>
      <c r="I32" s="3">
        <f>SUM(E32:F32)/SUM('County Totals'!E31:F31)</f>
        <v>0.530961791831357</v>
      </c>
      <c r="J32">
        <f t="shared" si="0"/>
        <v>6</v>
      </c>
      <c r="K32" s="1"/>
      <c r="L32" s="1"/>
      <c r="M32" s="38"/>
      <c r="N32" s="1"/>
      <c r="O32" s="1"/>
      <c r="P32" s="1"/>
      <c r="Q32" s="1"/>
    </row>
    <row r="33" spans="1:17" ht="15">
      <c r="A33" t="s">
        <v>29</v>
      </c>
      <c r="B33" s="2">
        <f>VLOOKUP($A33,'County Totals'!$A:$D,2,FALSE)</f>
        <v>410.7750000000006</v>
      </c>
      <c r="C33" s="2">
        <f>VLOOKUP($A33,'County Totals'!$A:$D,3,FALSE)</f>
        <v>1094.2659337935306</v>
      </c>
      <c r="D33" s="2">
        <f>VLOOKUP($A33,'County Totals'!$A:$D,4,FALSE)</f>
        <v>432606</v>
      </c>
      <c r="E33" s="4">
        <v>3</v>
      </c>
      <c r="F33" s="4">
        <v>167</v>
      </c>
      <c r="G33" s="4">
        <v>477</v>
      </c>
      <c r="H33" s="3">
        <f t="shared" si="1"/>
        <v>0.6041753073551885</v>
      </c>
      <c r="I33" s="3">
        <f>SUM(E33:F33)/SUM('County Totals'!E32:F32)</f>
        <v>0.7906976744186046</v>
      </c>
      <c r="J33">
        <f t="shared" si="0"/>
        <v>33</v>
      </c>
      <c r="K33" s="1"/>
      <c r="L33" s="1"/>
      <c r="M33" s="38"/>
      <c r="N33" s="1"/>
      <c r="O33" s="1"/>
      <c r="P33" s="1"/>
      <c r="Q33" s="1"/>
    </row>
    <row r="34" spans="1:17" ht="15">
      <c r="A34" t="s">
        <v>30</v>
      </c>
      <c r="B34" s="2">
        <f>VLOOKUP($A34,'County Totals'!$A:$D,2,FALSE)</f>
        <v>515.9000000000002</v>
      </c>
      <c r="C34" s="2">
        <f>VLOOKUP($A34,'County Totals'!$A:$D,3,FALSE)</f>
        <v>12572.984984764154</v>
      </c>
      <c r="D34" s="2">
        <f>VLOOKUP($A34,'County Totals'!$A:$D,4,FALSE)</f>
        <v>5471235</v>
      </c>
      <c r="E34" s="4">
        <v>33</v>
      </c>
      <c r="F34" s="4">
        <v>1379</v>
      </c>
      <c r="G34" s="4">
        <v>4707</v>
      </c>
      <c r="H34" s="3">
        <f t="shared" si="1"/>
        <v>0.4714069277213976</v>
      </c>
      <c r="I34" s="3">
        <f>SUM(E34:F34)/SUM('County Totals'!E33:F33)</f>
        <v>0.3975225225225225</v>
      </c>
      <c r="J34">
        <f t="shared" si="0"/>
        <v>24</v>
      </c>
      <c r="K34" s="1"/>
      <c r="L34" s="1"/>
      <c r="M34" s="38"/>
      <c r="N34" s="1"/>
      <c r="O34" s="1"/>
      <c r="P34" s="1"/>
      <c r="Q34" s="1"/>
    </row>
    <row r="35" spans="1:17" ht="15">
      <c r="A35" t="s">
        <v>31</v>
      </c>
      <c r="B35" s="2">
        <f>VLOOKUP($A35,'County Totals'!$A:$D,2,FALSE)</f>
        <v>407.6699999999991</v>
      </c>
      <c r="C35" s="2">
        <f>VLOOKUP($A35,'County Totals'!$A:$D,3,FALSE)</f>
        <v>1926.6038034260312</v>
      </c>
      <c r="D35" s="2">
        <f>VLOOKUP($A35,'County Totals'!$A:$D,4,FALSE)</f>
        <v>706528</v>
      </c>
      <c r="E35" s="4">
        <v>4</v>
      </c>
      <c r="F35" s="4">
        <v>87</v>
      </c>
      <c r="G35" s="4">
        <v>365</v>
      </c>
      <c r="H35" s="3">
        <f t="shared" si="1"/>
        <v>0.2830744146021106</v>
      </c>
      <c r="I35" s="3">
        <f>SUM(E35:F35)/SUM('County Totals'!E34:F34)</f>
        <v>0.4690721649484536</v>
      </c>
      <c r="J35">
        <f t="shared" si="0"/>
        <v>10</v>
      </c>
      <c r="K35" s="1"/>
      <c r="L35" s="1"/>
      <c r="M35" s="38"/>
      <c r="N35" s="1"/>
      <c r="O35" s="1"/>
      <c r="P35" s="1"/>
      <c r="Q35" s="1"/>
    </row>
    <row r="36" spans="1:17" ht="15">
      <c r="A36" t="s">
        <v>32</v>
      </c>
      <c r="B36" s="2">
        <f>VLOOKUP($A36,'County Totals'!$A:$D,2,FALSE)</f>
        <v>405.3439999999992</v>
      </c>
      <c r="C36" s="2">
        <f>VLOOKUP($A36,'County Totals'!$A:$D,3,FALSE)</f>
        <v>643.263436718412</v>
      </c>
      <c r="D36" s="2">
        <f>VLOOKUP($A36,'County Totals'!$A:$D,4,FALSE)</f>
        <v>243820</v>
      </c>
      <c r="E36" s="4">
        <v>4</v>
      </c>
      <c r="F36" s="4">
        <v>64</v>
      </c>
      <c r="G36" s="4">
        <v>166</v>
      </c>
      <c r="H36" s="3">
        <f t="shared" si="1"/>
        <v>0.3730576003182226</v>
      </c>
      <c r="I36" s="3">
        <f>SUM(E36:F36)/SUM('County Totals'!E35:F35)</f>
        <v>0.7083333333333334</v>
      </c>
      <c r="J36">
        <f aca="true" t="shared" si="2" ref="J36:J67">_xlfn.RANK.AVG(H36,H$1:H$65536,1)</f>
        <v>17</v>
      </c>
      <c r="K36" s="1"/>
      <c r="L36" s="1"/>
      <c r="M36" s="38"/>
      <c r="N36" s="1"/>
      <c r="O36" s="1"/>
      <c r="P36" s="1"/>
      <c r="Q36" s="1"/>
    </row>
    <row r="37" spans="1:17" ht="15">
      <c r="A37" t="s">
        <v>33</v>
      </c>
      <c r="B37" s="2">
        <f>VLOOKUP($A37,'County Totals'!$A:$D,2,FALSE)</f>
        <v>281.61000000000007</v>
      </c>
      <c r="C37" s="2">
        <f>VLOOKUP($A37,'County Totals'!$A:$D,3,FALSE)</f>
        <v>243.0666497612105</v>
      </c>
      <c r="D37" s="2">
        <f>VLOOKUP($A37,'County Totals'!$A:$D,4,FALSE)</f>
        <v>57512</v>
      </c>
      <c r="E37" s="4">
        <v>4</v>
      </c>
      <c r="F37" s="4">
        <v>74</v>
      </c>
      <c r="G37" s="4">
        <v>205</v>
      </c>
      <c r="H37" s="3">
        <f t="shared" si="1"/>
        <v>1.9531361650314312</v>
      </c>
      <c r="I37" s="3">
        <f>SUM(E37:F37)/SUM('County Totals'!E36:F36)</f>
        <v>0.8125</v>
      </c>
      <c r="J37">
        <f t="shared" si="2"/>
        <v>76</v>
      </c>
      <c r="K37" s="1"/>
      <c r="L37" s="1"/>
      <c r="M37" s="38"/>
      <c r="N37" s="1"/>
      <c r="O37" s="1"/>
      <c r="P37" s="1"/>
      <c r="Q37" s="1"/>
    </row>
    <row r="38" spans="1:17" ht="15">
      <c r="A38" t="s">
        <v>34</v>
      </c>
      <c r="B38" s="2">
        <f>VLOOKUP($A38,'County Totals'!$A:$D,2,FALSE)</f>
        <v>435.07399999999944</v>
      </c>
      <c r="C38" s="2">
        <f>VLOOKUP($A38,'County Totals'!$A:$D,3,FALSE)</f>
        <v>456.393592407563</v>
      </c>
      <c r="D38" s="2">
        <f>VLOOKUP($A38,'County Totals'!$A:$D,4,FALSE)</f>
        <v>185817</v>
      </c>
      <c r="E38" s="4">
        <v>1</v>
      </c>
      <c r="F38" s="4">
        <v>101</v>
      </c>
      <c r="G38" s="4">
        <v>240</v>
      </c>
      <c r="H38" s="3">
        <f t="shared" si="1"/>
        <v>0.7077223790883961</v>
      </c>
      <c r="I38" s="3">
        <f>SUM(E38:F38)/SUM('County Totals'!E37:F37)</f>
        <v>0.7555555555555555</v>
      </c>
      <c r="J38">
        <f t="shared" si="2"/>
        <v>45</v>
      </c>
      <c r="K38" s="1"/>
      <c r="L38" s="1"/>
      <c r="M38" s="38"/>
      <c r="N38" s="1"/>
      <c r="O38" s="1"/>
      <c r="P38" s="1"/>
      <c r="Q38" s="1"/>
    </row>
    <row r="39" spans="1:17" ht="15">
      <c r="A39" t="s">
        <v>35</v>
      </c>
      <c r="B39" s="2">
        <f>VLOOKUP($A39,'County Totals'!$A:$D,2,FALSE)</f>
        <v>399.69000000000034</v>
      </c>
      <c r="C39" s="2">
        <f>VLOOKUP($A39,'County Totals'!$A:$D,3,FALSE)</f>
        <v>290.3107792211284</v>
      </c>
      <c r="D39" s="2">
        <f>VLOOKUP($A39,'County Totals'!$A:$D,4,FALSE)</f>
        <v>107921</v>
      </c>
      <c r="E39" s="4">
        <v>5</v>
      </c>
      <c r="F39" s="4">
        <v>120</v>
      </c>
      <c r="G39" s="4">
        <v>331</v>
      </c>
      <c r="H39" s="3">
        <f t="shared" si="1"/>
        <v>1.6805798965326362</v>
      </c>
      <c r="I39" s="3">
        <f>SUM(E39:F39)/SUM('County Totals'!E38:F38)</f>
        <v>0.7575757575757576</v>
      </c>
      <c r="J39">
        <f t="shared" si="2"/>
        <v>71</v>
      </c>
      <c r="K39" s="1"/>
      <c r="L39" s="1"/>
      <c r="M39" s="38"/>
      <c r="N39" s="1"/>
      <c r="O39" s="1"/>
      <c r="P39" s="1"/>
      <c r="Q39" s="1"/>
    </row>
    <row r="40" spans="1:17" ht="15">
      <c r="A40" t="s">
        <v>36</v>
      </c>
      <c r="B40" s="2">
        <f>VLOOKUP($A40,'County Totals'!$A:$D,2,FALSE)</f>
        <v>218.51999999999987</v>
      </c>
      <c r="C40" s="2">
        <f>VLOOKUP($A40,'County Totals'!$A:$D,3,FALSE)</f>
        <v>463.2355874725716</v>
      </c>
      <c r="D40" s="2">
        <f>VLOOKUP($A40,'County Totals'!$A:$D,4,FALSE)</f>
        <v>92888</v>
      </c>
      <c r="E40" s="4">
        <v>0</v>
      </c>
      <c r="F40" s="4">
        <v>122</v>
      </c>
      <c r="G40" s="4">
        <v>291</v>
      </c>
      <c r="H40" s="3">
        <f t="shared" si="1"/>
        <v>1.7166055334867856</v>
      </c>
      <c r="I40" s="3">
        <f>SUM(E40:F40)/SUM('County Totals'!E39:F39)</f>
        <v>0.8472222222222222</v>
      </c>
      <c r="J40">
        <f t="shared" si="2"/>
        <v>72</v>
      </c>
      <c r="K40" s="1"/>
      <c r="L40" s="1"/>
      <c r="M40" s="38"/>
      <c r="N40" s="1"/>
      <c r="O40" s="1"/>
      <c r="P40" s="1"/>
      <c r="Q40" s="1"/>
    </row>
    <row r="41" spans="1:17" ht="15">
      <c r="A41" t="s">
        <v>37</v>
      </c>
      <c r="B41" s="2">
        <f>VLOOKUP($A41,'County Totals'!$A:$D,2,FALSE)</f>
        <v>253.98700000000022</v>
      </c>
      <c r="C41" s="2">
        <f>VLOOKUP($A41,'County Totals'!$A:$D,3,FALSE)</f>
        <v>1334.794943485776</v>
      </c>
      <c r="D41" s="2">
        <f>VLOOKUP($A41,'County Totals'!$A:$D,4,FALSE)</f>
        <v>325112</v>
      </c>
      <c r="E41" s="4">
        <v>5</v>
      </c>
      <c r="F41" s="4">
        <v>124</v>
      </c>
      <c r="G41" s="4">
        <v>433</v>
      </c>
      <c r="H41" s="3">
        <f t="shared" si="1"/>
        <v>0.7297801187670795</v>
      </c>
      <c r="I41" s="3">
        <f>SUM(E41:F41)/SUM('County Totals'!E40:F40)</f>
        <v>0.6386138613861386</v>
      </c>
      <c r="J41">
        <f t="shared" si="2"/>
        <v>46</v>
      </c>
      <c r="K41" s="1"/>
      <c r="L41" s="1"/>
      <c r="M41" s="38"/>
      <c r="N41" s="1"/>
      <c r="O41" s="1"/>
      <c r="P41" s="1"/>
      <c r="Q41" s="1"/>
    </row>
    <row r="42" spans="1:17" ht="15">
      <c r="A42" t="s">
        <v>38</v>
      </c>
      <c r="B42" s="2">
        <f>VLOOKUP($A42,'County Totals'!$A:$D,2,FALSE)</f>
        <v>241.26000000000008</v>
      </c>
      <c r="C42" s="2">
        <f>VLOOKUP($A42,'County Totals'!$A:$D,3,FALSE)</f>
        <v>735.102609008038</v>
      </c>
      <c r="D42" s="2">
        <f>VLOOKUP($A42,'County Totals'!$A:$D,4,FALSE)</f>
        <v>163700</v>
      </c>
      <c r="E42" s="4">
        <v>3</v>
      </c>
      <c r="F42" s="4">
        <v>110</v>
      </c>
      <c r="G42" s="4">
        <v>323</v>
      </c>
      <c r="H42" s="3">
        <f t="shared" si="1"/>
        <v>1.0811625007322117</v>
      </c>
      <c r="I42" s="3">
        <f>SUM(E42:F42)/SUM('County Totals'!E41:F41)</f>
        <v>0.7583892617449665</v>
      </c>
      <c r="J42">
        <f t="shared" si="2"/>
        <v>63</v>
      </c>
      <c r="K42" s="1"/>
      <c r="L42" s="1"/>
      <c r="M42" s="38"/>
      <c r="N42" s="1"/>
      <c r="O42" s="1"/>
      <c r="P42" s="1"/>
      <c r="Q42" s="1"/>
    </row>
    <row r="43" spans="1:17" ht="15">
      <c r="A43" t="s">
        <v>39</v>
      </c>
      <c r="B43" s="2">
        <f>VLOOKUP($A43,'County Totals'!$A:$D,2,FALSE)</f>
        <v>306.85999999999996</v>
      </c>
      <c r="C43" s="2">
        <f>VLOOKUP($A43,'County Totals'!$A:$D,3,FALSE)</f>
        <v>366.0184322829062</v>
      </c>
      <c r="D43" s="2">
        <f>VLOOKUP($A43,'County Totals'!$A:$D,4,FALSE)</f>
        <v>105324</v>
      </c>
      <c r="E43" s="4">
        <v>6</v>
      </c>
      <c r="F43" s="4">
        <v>164</v>
      </c>
      <c r="G43" s="4">
        <v>498</v>
      </c>
      <c r="H43" s="3">
        <f t="shared" si="1"/>
        <v>2.590831266651164</v>
      </c>
      <c r="I43" s="3">
        <f>SUM(E43:F43)/SUM('County Totals'!E42:F42)</f>
        <v>0.8585858585858586</v>
      </c>
      <c r="J43">
        <f t="shared" si="2"/>
        <v>87</v>
      </c>
      <c r="K43" s="1"/>
      <c r="L43" s="1"/>
      <c r="M43" s="38"/>
      <c r="N43" s="1"/>
      <c r="O43" s="1"/>
      <c r="P43" s="1"/>
      <c r="Q43" s="1"/>
    </row>
    <row r="44" spans="1:17" ht="15">
      <c r="A44" t="s">
        <v>40</v>
      </c>
      <c r="B44" s="2">
        <f>VLOOKUP($A44,'County Totals'!$A:$D,2,FALSE)</f>
        <v>263.3600000000001</v>
      </c>
      <c r="C44" s="2">
        <f>VLOOKUP($A44,'County Totals'!$A:$D,3,FALSE)</f>
        <v>775.9359205002994</v>
      </c>
      <c r="D44" s="2">
        <f>VLOOKUP($A44,'County Totals'!$A:$D,4,FALSE)</f>
        <v>181150</v>
      </c>
      <c r="E44" s="4">
        <v>4</v>
      </c>
      <c r="F44" s="4">
        <v>197</v>
      </c>
      <c r="G44" s="4">
        <v>610</v>
      </c>
      <c r="H44" s="3">
        <f t="shared" si="1"/>
        <v>1.8451370430166478</v>
      </c>
      <c r="I44" s="3">
        <f>SUM(E44:F44)/SUM('County Totals'!E43:F43)</f>
        <v>0.7760617760617761</v>
      </c>
      <c r="J44">
        <f t="shared" si="2"/>
        <v>75</v>
      </c>
      <c r="K44" s="1"/>
      <c r="L44" s="1"/>
      <c r="M44" s="38"/>
      <c r="N44" s="1"/>
      <c r="O44" s="1"/>
      <c r="P44" s="1"/>
      <c r="Q44" s="1"/>
    </row>
    <row r="45" spans="1:17" ht="15">
      <c r="A45" t="s">
        <v>41</v>
      </c>
      <c r="B45" s="2">
        <f>VLOOKUP($A45,'County Totals'!$A:$D,2,FALSE)</f>
        <v>434.68000000000023</v>
      </c>
      <c r="C45" s="2">
        <f>VLOOKUP($A45,'County Totals'!$A:$D,3,FALSE)</f>
        <v>336.44900499104983</v>
      </c>
      <c r="D45" s="2">
        <f>VLOOKUP($A45,'County Totals'!$A:$D,4,FALSE)</f>
        <v>131383</v>
      </c>
      <c r="E45" s="4">
        <v>2</v>
      </c>
      <c r="F45" s="4">
        <v>203</v>
      </c>
      <c r="G45" s="4">
        <v>574</v>
      </c>
      <c r="H45" s="3">
        <f t="shared" si="1"/>
        <v>2.3939211918224235</v>
      </c>
      <c r="I45" s="3">
        <f>SUM(E45:F45)/SUM('County Totals'!E44:F44)</f>
        <v>0.7592592592592593</v>
      </c>
      <c r="J45">
        <f t="shared" si="2"/>
        <v>84</v>
      </c>
      <c r="K45" s="1"/>
      <c r="L45" s="1"/>
      <c r="M45" s="38"/>
      <c r="N45" s="1"/>
      <c r="O45" s="1"/>
      <c r="P45" s="1"/>
      <c r="Q45" s="1"/>
    </row>
    <row r="46" spans="1:17" ht="15">
      <c r="A46" t="s">
        <v>42</v>
      </c>
      <c r="B46" s="2">
        <f>VLOOKUP($A46,'County Totals'!$A:$D,2,FALSE)</f>
        <v>158.16000000000005</v>
      </c>
      <c r="C46" s="2">
        <f>VLOOKUP($A46,'County Totals'!$A:$D,3,FALSE)</f>
        <v>3221.6909984086356</v>
      </c>
      <c r="D46" s="2">
        <f>VLOOKUP($A46,'County Totals'!$A:$D,4,FALSE)</f>
        <v>465631</v>
      </c>
      <c r="E46" s="4">
        <v>5</v>
      </c>
      <c r="F46" s="4">
        <v>160</v>
      </c>
      <c r="G46" s="4">
        <v>518</v>
      </c>
      <c r="H46" s="3">
        <f t="shared" si="1"/>
        <v>0.6095719924969689</v>
      </c>
      <c r="I46" s="3">
        <f>SUM(E46:F46)/SUM('County Totals'!E45:F45)</f>
        <v>0.5427631578947368</v>
      </c>
      <c r="J46">
        <f t="shared" si="2"/>
        <v>34</v>
      </c>
      <c r="K46" s="1"/>
      <c r="L46" s="1"/>
      <c r="M46" s="38"/>
      <c r="N46" s="1"/>
      <c r="O46" s="1"/>
      <c r="P46" s="1"/>
      <c r="Q46" s="1"/>
    </row>
    <row r="47" spans="1:17" ht="15">
      <c r="A47" t="s">
        <v>43</v>
      </c>
      <c r="B47" s="2">
        <f>VLOOKUP($A47,'County Totals'!$A:$D,2,FALSE)</f>
        <v>380.79999999999967</v>
      </c>
      <c r="C47" s="2">
        <f>VLOOKUP($A47,'County Totals'!$A:$D,3,FALSE)</f>
        <v>707.5460503249816</v>
      </c>
      <c r="D47" s="2">
        <f>VLOOKUP($A47,'County Totals'!$A:$D,4,FALSE)</f>
        <v>262351</v>
      </c>
      <c r="E47" s="4">
        <v>4</v>
      </c>
      <c r="F47" s="4">
        <v>383</v>
      </c>
      <c r="G47" s="4">
        <v>973</v>
      </c>
      <c r="H47" s="3">
        <f t="shared" si="1"/>
        <v>2.0322037458652984</v>
      </c>
      <c r="I47" s="3">
        <f>SUM(E47:F47)/SUM('County Totals'!E46:F46)</f>
        <v>0.7371428571428571</v>
      </c>
      <c r="J47">
        <f t="shared" si="2"/>
        <v>79</v>
      </c>
      <c r="K47" s="1"/>
      <c r="L47" s="1"/>
      <c r="M47" s="38"/>
      <c r="N47" s="1"/>
      <c r="O47" s="1"/>
      <c r="P47" s="1"/>
      <c r="Q47" s="1"/>
    </row>
    <row r="48" spans="1:17" ht="15">
      <c r="A48" t="s">
        <v>44</v>
      </c>
      <c r="B48" s="2">
        <f>VLOOKUP($A48,'County Totals'!$A:$D,2,FALSE)</f>
        <v>434.1999999999999</v>
      </c>
      <c r="C48" s="2">
        <f>VLOOKUP($A48,'County Totals'!$A:$D,3,FALSE)</f>
        <v>746.8597837540084</v>
      </c>
      <c r="D48" s="2">
        <f>VLOOKUP($A48,'County Totals'!$A:$D,4,FALSE)</f>
        <v>295572</v>
      </c>
      <c r="E48" s="4">
        <v>8</v>
      </c>
      <c r="F48" s="4">
        <v>362</v>
      </c>
      <c r="G48" s="4">
        <v>955</v>
      </c>
      <c r="H48" s="3">
        <f t="shared" si="1"/>
        <v>1.7704236911239113</v>
      </c>
      <c r="I48" s="3">
        <f>SUM(E48:F48)/SUM('County Totals'!E47:F47)</f>
        <v>0.7240704500978473</v>
      </c>
      <c r="J48">
        <f t="shared" si="2"/>
        <v>73</v>
      </c>
      <c r="K48" s="1"/>
      <c r="L48" s="1"/>
      <c r="M48" s="38"/>
      <c r="N48" s="1"/>
      <c r="O48" s="1"/>
      <c r="P48" s="1"/>
      <c r="Q48" s="1"/>
    </row>
    <row r="49" spans="1:17" ht="15">
      <c r="A49" t="s">
        <v>45</v>
      </c>
      <c r="B49" s="2">
        <f>VLOOKUP($A49,'County Totals'!$A:$D,2,FALSE)</f>
        <v>376.65999999999985</v>
      </c>
      <c r="C49" s="2">
        <f>VLOOKUP($A49,'County Totals'!$A:$D,3,FALSE)</f>
        <v>652.7612179854636</v>
      </c>
      <c r="D49" s="2">
        <f>VLOOKUP($A49,'County Totals'!$A:$D,4,FALSE)</f>
        <v>227751</v>
      </c>
      <c r="E49" s="4">
        <v>5</v>
      </c>
      <c r="F49" s="4">
        <v>161</v>
      </c>
      <c r="G49" s="4">
        <v>525</v>
      </c>
      <c r="H49" s="3">
        <f t="shared" si="1"/>
        <v>1.2630953667677083</v>
      </c>
      <c r="I49" s="3">
        <f>SUM(E49:F49)/SUM('County Totals'!E48:F48)</f>
        <v>0.7186147186147186</v>
      </c>
      <c r="J49">
        <f t="shared" si="2"/>
        <v>67</v>
      </c>
      <c r="K49" s="1"/>
      <c r="L49" s="1"/>
      <c r="M49" s="38"/>
      <c r="N49" s="1"/>
      <c r="O49" s="1"/>
      <c r="P49" s="1"/>
      <c r="Q49" s="1"/>
    </row>
    <row r="50" spans="1:17" ht="15">
      <c r="A50" t="s">
        <v>46</v>
      </c>
      <c r="B50" s="2">
        <f>VLOOKUP($A50,'County Totals'!$A:$D,2,FALSE)</f>
        <v>276.89999999999986</v>
      </c>
      <c r="C50" s="2">
        <f>VLOOKUP($A50,'County Totals'!$A:$D,3,FALSE)</f>
        <v>2251.648213912681</v>
      </c>
      <c r="D50" s="2">
        <f>VLOOKUP($A50,'County Totals'!$A:$D,4,FALSE)</f>
        <v>538932</v>
      </c>
      <c r="E50" s="4">
        <v>13</v>
      </c>
      <c r="F50" s="4">
        <v>338</v>
      </c>
      <c r="G50" s="4">
        <v>935</v>
      </c>
      <c r="H50" s="3">
        <f t="shared" si="1"/>
        <v>0.950637125135059</v>
      </c>
      <c r="I50" s="3">
        <f>SUM(E50:F50)/SUM('County Totals'!E49:F49)</f>
        <v>0.4854771784232365</v>
      </c>
      <c r="J50">
        <f t="shared" si="2"/>
        <v>60</v>
      </c>
      <c r="K50" s="1"/>
      <c r="L50" s="1"/>
      <c r="M50" s="38"/>
      <c r="N50" s="1"/>
      <c r="O50" s="1"/>
      <c r="P50" s="1"/>
      <c r="Q50" s="1"/>
    </row>
    <row r="51" spans="1:17" ht="15">
      <c r="A51" t="s">
        <v>47</v>
      </c>
      <c r="B51" s="2">
        <f>VLOOKUP($A51,'County Totals'!$A:$D,2,FALSE)</f>
        <v>302.4299999999998</v>
      </c>
      <c r="C51" s="2">
        <f>VLOOKUP($A51,'County Totals'!$A:$D,3,FALSE)</f>
        <v>4587.441243366186</v>
      </c>
      <c r="D51" s="2">
        <f>VLOOKUP($A51,'County Totals'!$A:$D,4,FALSE)</f>
        <v>1210167</v>
      </c>
      <c r="E51" s="4">
        <v>4</v>
      </c>
      <c r="F51" s="4">
        <v>291</v>
      </c>
      <c r="G51" s="4">
        <v>738</v>
      </c>
      <c r="H51" s="3">
        <f t="shared" si="1"/>
        <v>0.3341551716778226</v>
      </c>
      <c r="I51" s="3">
        <f>SUM(E51:F51)/SUM('County Totals'!E50:F50)</f>
        <v>0.3367579908675799</v>
      </c>
      <c r="J51">
        <f t="shared" si="2"/>
        <v>14</v>
      </c>
      <c r="K51" s="1"/>
      <c r="L51" s="1"/>
      <c r="M51" s="38"/>
      <c r="N51" s="1"/>
      <c r="O51" s="1"/>
      <c r="P51" s="1"/>
      <c r="Q51" s="1"/>
    </row>
    <row r="52" spans="1:17" ht="15">
      <c r="A52" t="s">
        <v>48</v>
      </c>
      <c r="B52" s="2">
        <f>VLOOKUP($A52,'County Totals'!$A:$D,2,FALSE)</f>
        <v>343.90999999999974</v>
      </c>
      <c r="C52" s="2">
        <f>VLOOKUP($A52,'County Totals'!$A:$D,3,FALSE)</f>
        <v>782.0900831378984</v>
      </c>
      <c r="D52" s="2">
        <f>VLOOKUP($A52,'County Totals'!$A:$D,4,FALSE)</f>
        <v>259449</v>
      </c>
      <c r="E52" s="4">
        <v>3</v>
      </c>
      <c r="F52" s="4">
        <v>160</v>
      </c>
      <c r="G52" s="4">
        <v>371</v>
      </c>
      <c r="H52" s="3">
        <f t="shared" si="1"/>
        <v>0.7835361525111938</v>
      </c>
      <c r="I52" s="3">
        <f>SUM(E52:F52)/SUM('County Totals'!E51:F51)</f>
        <v>0.7375565610859729</v>
      </c>
      <c r="J52">
        <f t="shared" si="2"/>
        <v>50</v>
      </c>
      <c r="K52" s="1"/>
      <c r="L52" s="1"/>
      <c r="M52" s="38"/>
      <c r="N52" s="1"/>
      <c r="O52" s="1"/>
      <c r="P52" s="1"/>
      <c r="Q52" s="1"/>
    </row>
    <row r="53" spans="1:17" ht="15">
      <c r="A53" t="s">
        <v>49</v>
      </c>
      <c r="B53" s="2">
        <f>VLOOKUP($A53,'County Totals'!$A:$D,2,FALSE)</f>
        <v>502.9199999999996</v>
      </c>
      <c r="C53" s="2">
        <f>VLOOKUP($A53,'County Totals'!$A:$D,3,FALSE)</f>
        <v>3432.4187411432604</v>
      </c>
      <c r="D53" s="2">
        <f>VLOOKUP($A53,'County Totals'!$A:$D,4,FALSE)</f>
        <v>1538084</v>
      </c>
      <c r="E53" s="4">
        <v>7</v>
      </c>
      <c r="F53" s="4">
        <v>500</v>
      </c>
      <c r="G53" s="4">
        <v>1610</v>
      </c>
      <c r="H53" s="3">
        <f t="shared" si="1"/>
        <v>0.5735654104859799</v>
      </c>
      <c r="I53" s="3">
        <f>SUM(E53:F53)/SUM('County Totals'!E52:F52)</f>
        <v>0.34678522571819426</v>
      </c>
      <c r="J53">
        <f t="shared" si="2"/>
        <v>32</v>
      </c>
      <c r="K53" s="1"/>
      <c r="L53" s="1"/>
      <c r="M53" s="38"/>
      <c r="N53" s="1"/>
      <c r="O53" s="1"/>
      <c r="P53" s="1"/>
      <c r="Q53" s="1"/>
    </row>
    <row r="54" spans="1:17" ht="15">
      <c r="A54" t="s">
        <v>50</v>
      </c>
      <c r="B54" s="2">
        <f>VLOOKUP($A54,'County Totals'!$A:$D,2,FALSE)</f>
        <v>389.6359999999992</v>
      </c>
      <c r="C54" s="2">
        <f>VLOOKUP($A54,'County Totals'!$A:$D,3,FALSE)</f>
        <v>1617.9403877469992</v>
      </c>
      <c r="D54" s="2">
        <f>VLOOKUP($A54,'County Totals'!$A:$D,4,FALSE)</f>
        <v>599112</v>
      </c>
      <c r="E54" s="4">
        <v>7</v>
      </c>
      <c r="F54" s="4">
        <v>162</v>
      </c>
      <c r="G54" s="4">
        <v>454</v>
      </c>
      <c r="H54" s="3">
        <f t="shared" si="1"/>
        <v>0.4152264072288175</v>
      </c>
      <c r="I54" s="3">
        <f>SUM(E54:F54)/SUM('County Totals'!E53:F53)</f>
        <v>0.6101083032490975</v>
      </c>
      <c r="J54">
        <f t="shared" si="2"/>
        <v>21</v>
      </c>
      <c r="K54" s="1"/>
      <c r="L54" s="1"/>
      <c r="M54" s="38"/>
      <c r="N54" s="1"/>
      <c r="O54" s="1"/>
      <c r="P54" s="1"/>
      <c r="Q54" s="1"/>
    </row>
    <row r="55" spans="1:17" ht="15">
      <c r="A55" t="s">
        <v>51</v>
      </c>
      <c r="B55" s="2">
        <f>VLOOKUP($A55,'County Totals'!$A:$D,2,FALSE)</f>
        <v>351.76999999999987</v>
      </c>
      <c r="C55" s="2">
        <f>VLOOKUP($A55,'County Totals'!$A:$D,3,FALSE)</f>
        <v>2524.197990034408</v>
      </c>
      <c r="D55" s="2">
        <f>VLOOKUP($A55,'County Totals'!$A:$D,4,FALSE)</f>
        <v>779124</v>
      </c>
      <c r="E55" s="4">
        <v>7</v>
      </c>
      <c r="F55" s="4">
        <v>316</v>
      </c>
      <c r="G55" s="4">
        <v>889</v>
      </c>
      <c r="H55" s="3">
        <f t="shared" si="1"/>
        <v>0.6252192047366438</v>
      </c>
      <c r="I55" s="3">
        <f>SUM(E55:F55)/SUM('County Totals'!E54:F54)</f>
        <v>0.5549828178694158</v>
      </c>
      <c r="J55">
        <f t="shared" si="2"/>
        <v>35</v>
      </c>
      <c r="K55" s="1"/>
      <c r="L55" s="1"/>
      <c r="M55" s="38"/>
      <c r="N55" s="1"/>
      <c r="O55" s="1"/>
      <c r="P55" s="1"/>
      <c r="Q55" s="1"/>
    </row>
    <row r="56" spans="1:17" ht="15">
      <c r="A56" t="s">
        <v>52</v>
      </c>
      <c r="B56" s="2">
        <f>VLOOKUP($A56,'County Totals'!$A:$D,2,FALSE)</f>
        <v>259.35999999999996</v>
      </c>
      <c r="C56" s="2">
        <f>VLOOKUP($A56,'County Totals'!$A:$D,3,FALSE)</f>
        <v>442.6428431180053</v>
      </c>
      <c r="D56" s="2">
        <f>VLOOKUP($A56,'County Totals'!$A:$D,4,FALSE)</f>
        <v>112719</v>
      </c>
      <c r="E56" s="4">
        <v>4</v>
      </c>
      <c r="F56" s="4">
        <v>110</v>
      </c>
      <c r="G56" s="4">
        <v>247</v>
      </c>
      <c r="H56" s="3">
        <f t="shared" si="1"/>
        <v>1.2007067641961395</v>
      </c>
      <c r="I56" s="3">
        <f>SUM(E56:F56)/SUM('County Totals'!E55:F55)</f>
        <v>0.8507462686567164</v>
      </c>
      <c r="J56">
        <f t="shared" si="2"/>
        <v>65</v>
      </c>
      <c r="K56" s="1"/>
      <c r="L56" s="1"/>
      <c r="M56" s="38"/>
      <c r="N56" s="1"/>
      <c r="O56" s="1"/>
      <c r="P56" s="1"/>
      <c r="Q56" s="1"/>
    </row>
    <row r="57" spans="1:17" ht="15">
      <c r="A57" t="s">
        <v>53</v>
      </c>
      <c r="B57" s="2">
        <f>VLOOKUP($A57,'County Totals'!$A:$D,2,FALSE)</f>
        <v>399.80899999999946</v>
      </c>
      <c r="C57" s="2">
        <f>VLOOKUP($A57,'County Totals'!$A:$D,3,FALSE)</f>
        <v>489.8958873509119</v>
      </c>
      <c r="D57" s="2">
        <f>VLOOKUP($A57,'County Totals'!$A:$D,4,FALSE)</f>
        <v>184218</v>
      </c>
      <c r="E57" s="4">
        <v>4</v>
      </c>
      <c r="F57" s="4">
        <v>86</v>
      </c>
      <c r="G57" s="4">
        <v>216</v>
      </c>
      <c r="H57" s="3">
        <f t="shared" si="1"/>
        <v>0.6424788260841049</v>
      </c>
      <c r="I57" s="3">
        <f>SUM(E57:F57)/SUM('County Totals'!E56:F56)</f>
        <v>0.656934306569343</v>
      </c>
      <c r="J57">
        <f t="shared" si="2"/>
        <v>40</v>
      </c>
      <c r="K57" s="1"/>
      <c r="L57" s="1"/>
      <c r="M57" s="38"/>
      <c r="N57" s="1"/>
      <c r="O57" s="1"/>
      <c r="P57" s="1"/>
      <c r="Q57" s="1"/>
    </row>
    <row r="58" spans="1:17" ht="15">
      <c r="A58" t="s">
        <v>54</v>
      </c>
      <c r="B58" s="2">
        <f>VLOOKUP($A58,'County Totals'!$A:$D,2,FALSE)</f>
        <v>447.6599999999993</v>
      </c>
      <c r="C58" s="2">
        <f>VLOOKUP($A58,'County Totals'!$A:$D,3,FALSE)</f>
        <v>2758.7248305028543</v>
      </c>
      <c r="D58" s="2">
        <f>VLOOKUP($A58,'County Totals'!$A:$D,4,FALSE)</f>
        <v>1081536</v>
      </c>
      <c r="E58" s="4">
        <v>8</v>
      </c>
      <c r="F58" s="4">
        <v>169</v>
      </c>
      <c r="G58" s="4">
        <v>674</v>
      </c>
      <c r="H58" s="3">
        <f t="shared" si="1"/>
        <v>0.3414727466243848</v>
      </c>
      <c r="I58" s="3">
        <f>SUM(E58:F58)/SUM('County Totals'!E57:F57)</f>
        <v>0.554858934169279</v>
      </c>
      <c r="J58">
        <f t="shared" si="2"/>
        <v>15</v>
      </c>
      <c r="K58" s="1"/>
      <c r="L58" s="1"/>
      <c r="M58" s="38"/>
      <c r="N58" s="1"/>
      <c r="O58" s="1"/>
      <c r="P58" s="1"/>
      <c r="Q58" s="1"/>
    </row>
    <row r="59" spans="1:17" ht="15">
      <c r="A59" t="s">
        <v>55</v>
      </c>
      <c r="B59" s="2">
        <f>VLOOKUP($A59,'County Totals'!$A:$D,2,FALSE)</f>
        <v>372.2200000000002</v>
      </c>
      <c r="C59" s="2">
        <f>VLOOKUP($A59,'County Totals'!$A:$D,3,FALSE)</f>
        <v>217.56302758250752</v>
      </c>
      <c r="D59" s="2">
        <f>VLOOKUP($A59,'County Totals'!$A:$D,4,FALSE)</f>
        <v>77063</v>
      </c>
      <c r="E59" s="4">
        <v>1</v>
      </c>
      <c r="F59" s="4">
        <v>31</v>
      </c>
      <c r="G59" s="4">
        <v>129</v>
      </c>
      <c r="H59" s="3">
        <f t="shared" si="1"/>
        <v>0.9172356579272714</v>
      </c>
      <c r="I59" s="3">
        <f>SUM(E59:F59)/SUM('County Totals'!E58:F58)</f>
        <v>0.8888888888888888</v>
      </c>
      <c r="J59">
        <f t="shared" si="2"/>
        <v>58</v>
      </c>
      <c r="K59" s="1"/>
      <c r="L59" s="1"/>
      <c r="M59" s="38"/>
      <c r="N59" s="1"/>
      <c r="O59" s="1"/>
      <c r="P59" s="1"/>
      <c r="Q59" s="1"/>
    </row>
    <row r="60" spans="1:17" ht="15">
      <c r="A60" t="s">
        <v>56</v>
      </c>
      <c r="B60" s="2">
        <f>VLOOKUP($A60,'County Totals'!$A:$D,2,FALSE)</f>
        <v>339.02</v>
      </c>
      <c r="C60" s="2">
        <f>VLOOKUP($A60,'County Totals'!$A:$D,3,FALSE)</f>
        <v>4306.20358163491</v>
      </c>
      <c r="D60" s="2">
        <f>VLOOKUP($A60,'County Totals'!$A:$D,4,FALSE)</f>
        <v>1051773</v>
      </c>
      <c r="E60" s="4">
        <v>20</v>
      </c>
      <c r="F60" s="4">
        <v>483</v>
      </c>
      <c r="G60" s="4">
        <v>1285</v>
      </c>
      <c r="H60" s="3">
        <f t="shared" si="1"/>
        <v>0.6694501466011163</v>
      </c>
      <c r="I60" s="3">
        <f>SUM(E60:F60)/SUM('County Totals'!E59:F59)</f>
        <v>0.39700078926598265</v>
      </c>
      <c r="J60">
        <f t="shared" si="2"/>
        <v>43</v>
      </c>
      <c r="K60" s="1"/>
      <c r="L60" s="1"/>
      <c r="M60" s="38"/>
      <c r="N60" s="1"/>
      <c r="O60" s="1"/>
      <c r="P60" s="1"/>
      <c r="Q60" s="1"/>
    </row>
    <row r="61" spans="1:17" ht="15">
      <c r="A61" t="s">
        <v>57</v>
      </c>
      <c r="B61" s="2">
        <f>VLOOKUP($A61,'County Totals'!$A:$D,2,FALSE)</f>
        <v>345.28899999999976</v>
      </c>
      <c r="C61" s="2">
        <f>VLOOKUP($A61,'County Totals'!$A:$D,3,FALSE)</f>
        <v>614.5977014846153</v>
      </c>
      <c r="D61" s="2">
        <f>VLOOKUP($A61,'County Totals'!$A:$D,4,FALSE)</f>
        <v>210756</v>
      </c>
      <c r="E61" s="4">
        <v>1</v>
      </c>
      <c r="F61" s="4">
        <v>34</v>
      </c>
      <c r="G61" s="4">
        <v>108</v>
      </c>
      <c r="H61" s="3">
        <f t="shared" si="1"/>
        <v>0.28078954901298575</v>
      </c>
      <c r="I61" s="3">
        <f>SUM(E61:F61)/SUM('County Totals'!E60:F60)</f>
        <v>0.813953488372093</v>
      </c>
      <c r="J61">
        <f t="shared" si="2"/>
        <v>9</v>
      </c>
      <c r="K61" s="1"/>
      <c r="L61" s="1"/>
      <c r="M61" s="38"/>
      <c r="N61" s="1"/>
      <c r="O61" s="1"/>
      <c r="P61" s="1"/>
      <c r="Q61" s="1"/>
    </row>
    <row r="62" spans="1:17" ht="15">
      <c r="A62" t="s">
        <v>58</v>
      </c>
      <c r="B62" s="2">
        <f>VLOOKUP($A62,'County Totals'!$A:$D,2,FALSE)</f>
        <v>379.4699999999997</v>
      </c>
      <c r="C62" s="2">
        <f>VLOOKUP($A62,'County Totals'!$A:$D,3,FALSE)</f>
        <v>635.6978057307116</v>
      </c>
      <c r="D62" s="2">
        <f>VLOOKUP($A62,'County Totals'!$A:$D,4,FALSE)</f>
        <v>235301</v>
      </c>
      <c r="E62" s="4">
        <v>6</v>
      </c>
      <c r="F62" s="4">
        <v>138</v>
      </c>
      <c r="G62" s="4">
        <v>370</v>
      </c>
      <c r="H62" s="3">
        <f t="shared" si="1"/>
        <v>0.8616186332714151</v>
      </c>
      <c r="I62" s="3">
        <f>SUM(E62:F62)/SUM('County Totals'!E61:F61)</f>
        <v>0.6923076923076923</v>
      </c>
      <c r="J62">
        <f t="shared" si="2"/>
        <v>57</v>
      </c>
      <c r="K62" s="1"/>
      <c r="L62" s="1"/>
      <c r="M62" s="38"/>
      <c r="N62" s="1"/>
      <c r="O62" s="1"/>
      <c r="P62" s="1"/>
      <c r="Q62" s="1"/>
    </row>
    <row r="63" spans="1:17" ht="15">
      <c r="A63" t="s">
        <v>59</v>
      </c>
      <c r="B63" s="2">
        <f>VLOOKUP($A63,'County Totals'!$A:$D,2,FALSE)</f>
        <v>546.0919999999991</v>
      </c>
      <c r="C63" s="2">
        <f>VLOOKUP($A63,'County Totals'!$A:$D,3,FALSE)</f>
        <v>1820.7500062657964</v>
      </c>
      <c r="D63" s="2">
        <f>VLOOKUP($A63,'County Totals'!$A:$D,4,FALSE)</f>
        <v>944403</v>
      </c>
      <c r="E63" s="4">
        <v>5</v>
      </c>
      <c r="F63" s="4">
        <v>404</v>
      </c>
      <c r="G63" s="4">
        <v>1144</v>
      </c>
      <c r="H63" s="3">
        <f t="shared" si="1"/>
        <v>0.663751931186679</v>
      </c>
      <c r="I63" s="3">
        <f>SUM(E63:F63)/SUM('County Totals'!E62:F62)</f>
        <v>0.8245967741935484</v>
      </c>
      <c r="J63">
        <f t="shared" si="2"/>
        <v>42</v>
      </c>
      <c r="K63" s="1"/>
      <c r="L63" s="1"/>
      <c r="M63" s="38"/>
      <c r="N63" s="1"/>
      <c r="O63" s="1"/>
      <c r="P63" s="1"/>
      <c r="Q63" s="1"/>
    </row>
    <row r="64" spans="1:17" ht="15">
      <c r="A64" t="s">
        <v>60</v>
      </c>
      <c r="B64" s="2">
        <f>VLOOKUP($A64,'County Totals'!$A:$D,2,FALSE)</f>
        <v>268.68999999999994</v>
      </c>
      <c r="C64" s="2">
        <f>VLOOKUP($A64,'County Totals'!$A:$D,3,FALSE)</f>
        <v>292.69691216923013</v>
      </c>
      <c r="D64" s="2">
        <f>VLOOKUP($A64,'County Totals'!$A:$D,4,FALSE)</f>
        <v>75548</v>
      </c>
      <c r="E64" s="4">
        <v>1</v>
      </c>
      <c r="F64" s="4">
        <v>14</v>
      </c>
      <c r="G64" s="4">
        <v>34</v>
      </c>
      <c r="H64" s="3">
        <f t="shared" si="1"/>
        <v>0.24660000246600003</v>
      </c>
      <c r="I64" s="3">
        <f>SUM(E64:F64)/SUM('County Totals'!E63:F63)</f>
        <v>0.8823529411764706</v>
      </c>
      <c r="J64">
        <f t="shared" si="2"/>
        <v>5</v>
      </c>
      <c r="K64" s="1"/>
      <c r="L64" s="1"/>
      <c r="M64" s="38"/>
      <c r="N64" s="1"/>
      <c r="O64" s="1"/>
      <c r="P64" s="1"/>
      <c r="Q64" s="1"/>
    </row>
    <row r="65" spans="1:17" ht="15">
      <c r="A65" t="s">
        <v>61</v>
      </c>
      <c r="B65" s="2">
        <f>VLOOKUP($A65,'County Totals'!$A:$D,2,FALSE)</f>
        <v>165.336</v>
      </c>
      <c r="C65" s="2">
        <f>VLOOKUP($A65,'County Totals'!$A:$D,3,FALSE)</f>
        <v>3472.0475236477064</v>
      </c>
      <c r="D65" s="2">
        <f>VLOOKUP($A65,'County Totals'!$A:$D,4,FALSE)</f>
        <v>547653</v>
      </c>
      <c r="E65" s="4">
        <v>3</v>
      </c>
      <c r="F65" s="4">
        <v>83</v>
      </c>
      <c r="G65" s="4">
        <v>245</v>
      </c>
      <c r="H65" s="3">
        <f t="shared" si="1"/>
        <v>0.24513072208582032</v>
      </c>
      <c r="I65" s="3">
        <f>SUM(E65:F65)/SUM('County Totals'!E64:F64)</f>
        <v>0.593103448275862</v>
      </c>
      <c r="J65">
        <f t="shared" si="2"/>
        <v>4</v>
      </c>
      <c r="K65" s="1"/>
      <c r="L65" s="1"/>
      <c r="M65" s="38"/>
      <c r="N65" s="1"/>
      <c r="O65" s="1"/>
      <c r="P65" s="1"/>
      <c r="Q65" s="1"/>
    </row>
    <row r="66" spans="1:17" ht="15">
      <c r="A66" t="s">
        <v>62</v>
      </c>
      <c r="B66" s="2">
        <f>VLOOKUP($A66,'County Totals'!$A:$D,2,FALSE)</f>
        <v>337.92999999999955</v>
      </c>
      <c r="C66" s="2">
        <f>VLOOKUP($A66,'County Totals'!$A:$D,3,FALSE)</f>
        <v>590.6857259932872</v>
      </c>
      <c r="D66" s="2">
        <f>VLOOKUP($A66,'County Totals'!$A:$D,4,FALSE)</f>
        <v>187398</v>
      </c>
      <c r="E66" s="4">
        <v>1</v>
      </c>
      <c r="F66" s="4">
        <v>76</v>
      </c>
      <c r="G66" s="4">
        <v>195</v>
      </c>
      <c r="H66" s="3">
        <f t="shared" si="1"/>
        <v>0.5701731879128548</v>
      </c>
      <c r="I66" s="3">
        <f>SUM(E66:F66)/SUM('County Totals'!E65:F65)</f>
        <v>0.77</v>
      </c>
      <c r="J66">
        <f t="shared" si="2"/>
        <v>31</v>
      </c>
      <c r="K66" s="1"/>
      <c r="L66" s="1"/>
      <c r="M66" s="38"/>
      <c r="N66" s="1"/>
      <c r="O66" s="1"/>
      <c r="P66" s="1"/>
      <c r="Q66" s="1"/>
    </row>
    <row r="67" spans="1:17" ht="15">
      <c r="A67" t="s">
        <v>63</v>
      </c>
      <c r="B67" s="2">
        <f>VLOOKUP($A67,'County Totals'!$A:$D,2,FALSE)</f>
        <v>336.1090000000001</v>
      </c>
      <c r="C67" s="2">
        <f>VLOOKUP($A67,'County Totals'!$A:$D,3,FALSE)</f>
        <v>293.4908119164658</v>
      </c>
      <c r="D67" s="2">
        <f>VLOOKUP($A67,'County Totals'!$A:$D,4,FALSE)</f>
        <v>88960</v>
      </c>
      <c r="E67" s="4">
        <v>2</v>
      </c>
      <c r="F67" s="4">
        <v>195</v>
      </c>
      <c r="G67" s="4">
        <v>465</v>
      </c>
      <c r="H67" s="3">
        <f t="shared" si="1"/>
        <v>2.864147038533557</v>
      </c>
      <c r="I67" s="3">
        <f>SUM(E67:F67)/SUM('County Totals'!E66:F66)</f>
        <v>0.8454935622317596</v>
      </c>
      <c r="J67">
        <f t="shared" si="2"/>
        <v>88</v>
      </c>
      <c r="K67" s="1"/>
      <c r="L67" s="1"/>
      <c r="M67" s="38"/>
      <c r="N67" s="1"/>
      <c r="O67" s="1"/>
      <c r="P67" s="1"/>
      <c r="Q67" s="1"/>
    </row>
    <row r="68" spans="1:17" ht="15">
      <c r="A68" t="s">
        <v>64</v>
      </c>
      <c r="B68" s="2">
        <f>VLOOKUP($A68,'County Totals'!$A:$D,2,FALSE)</f>
        <v>258.23999999999995</v>
      </c>
      <c r="C68" s="2">
        <f>VLOOKUP($A68,'County Totals'!$A:$D,3,FALSE)</f>
        <v>913.396340770484</v>
      </c>
      <c r="D68" s="2">
        <f>VLOOKUP($A68,'County Totals'!$A:$D,4,FALSE)</f>
        <v>192902</v>
      </c>
      <c r="E68" s="4">
        <v>14</v>
      </c>
      <c r="F68" s="4">
        <v>147</v>
      </c>
      <c r="G68" s="4">
        <v>406</v>
      </c>
      <c r="H68" s="3">
        <f t="shared" si="1"/>
        <v>1.1532578896261185</v>
      </c>
      <c r="I68" s="3">
        <f>SUM(E68:F68)/SUM('County Totals'!E67:F67)</f>
        <v>0.71875</v>
      </c>
      <c r="J68">
        <f aca="true" t="shared" si="3" ref="J68:J91">_xlfn.RANK.AVG(H68,H$1:H$65536,1)</f>
        <v>64</v>
      </c>
      <c r="K68" s="1"/>
      <c r="L68" s="1"/>
      <c r="M68" s="38"/>
      <c r="N68" s="1"/>
      <c r="O68" s="1"/>
      <c r="P68" s="1"/>
      <c r="Q68" s="1"/>
    </row>
    <row r="69" spans="1:17" ht="15">
      <c r="A69" t="s">
        <v>65</v>
      </c>
      <c r="B69" s="2">
        <f>VLOOKUP($A69,'County Totals'!$A:$D,2,FALSE)</f>
        <v>355.03</v>
      </c>
      <c r="C69" s="2">
        <f>VLOOKUP($A69,'County Totals'!$A:$D,3,FALSE)</f>
        <v>440.7539461115788</v>
      </c>
      <c r="D69" s="2">
        <f>VLOOKUP($A69,'County Totals'!$A:$D,4,FALSE)</f>
        <v>139812</v>
      </c>
      <c r="E69" s="4">
        <v>9</v>
      </c>
      <c r="F69" s="4">
        <v>225</v>
      </c>
      <c r="G69" s="4">
        <v>578</v>
      </c>
      <c r="H69" s="3">
        <f aca="true" t="shared" si="4" ref="H69:H91">G69*1000000/(5*365*$B69*$D69/$B69)</f>
        <v>2.265272857602518</v>
      </c>
      <c r="I69" s="3">
        <f>SUM(E69:F69)/SUM('County Totals'!E68:F68)</f>
        <v>0.8830188679245283</v>
      </c>
      <c r="J69">
        <f t="shared" si="3"/>
        <v>82</v>
      </c>
      <c r="K69" s="1"/>
      <c r="L69" s="1"/>
      <c r="M69" s="38"/>
      <c r="N69" s="1"/>
      <c r="O69" s="1"/>
      <c r="P69" s="1"/>
      <c r="Q69" s="1"/>
    </row>
    <row r="70" spans="1:17" ht="15">
      <c r="A70" t="s">
        <v>66</v>
      </c>
      <c r="B70" s="2">
        <f>VLOOKUP($A70,'County Totals'!$A:$D,2,FALSE)</f>
        <v>376.62999999999937</v>
      </c>
      <c r="C70" s="2">
        <f>VLOOKUP($A70,'County Totals'!$A:$D,3,FALSE)</f>
        <v>6158.959992357024</v>
      </c>
      <c r="D70" s="2">
        <f>VLOOKUP($A70,'County Totals'!$A:$D,4,FALSE)</f>
        <v>2191863</v>
      </c>
      <c r="E70" s="4">
        <v>3</v>
      </c>
      <c r="F70" s="4">
        <v>400</v>
      </c>
      <c r="G70" s="4">
        <v>1081</v>
      </c>
      <c r="H70" s="3">
        <f t="shared" si="4"/>
        <v>0.27023986769396063</v>
      </c>
      <c r="I70" s="3">
        <f>SUM(E70:F70)/SUM('County Totals'!E69:F69)</f>
        <v>0.5857558139534884</v>
      </c>
      <c r="J70">
        <f t="shared" si="3"/>
        <v>7</v>
      </c>
      <c r="K70" s="1"/>
      <c r="L70" s="1"/>
      <c r="M70" s="38"/>
      <c r="N70" s="1"/>
      <c r="O70" s="1"/>
      <c r="P70" s="1"/>
      <c r="Q70" s="1"/>
    </row>
    <row r="71" spans="1:17" ht="15">
      <c r="A71" t="s">
        <v>67</v>
      </c>
      <c r="B71" s="2">
        <f>VLOOKUP($A71,'County Totals'!$A:$D,2,FALSE)</f>
        <v>291.17600000000004</v>
      </c>
      <c r="C71" s="2">
        <f>VLOOKUP($A71,'County Totals'!$A:$D,3,FALSE)</f>
        <v>333.5426560979462</v>
      </c>
      <c r="D71" s="2">
        <f>VLOOKUP($A71,'County Totals'!$A:$D,4,FALSE)</f>
        <v>80203</v>
      </c>
      <c r="E71" s="4">
        <v>11</v>
      </c>
      <c r="F71" s="4">
        <v>148</v>
      </c>
      <c r="G71" s="4">
        <v>370</v>
      </c>
      <c r="H71" s="3">
        <f t="shared" si="4"/>
        <v>2.5278322011320933</v>
      </c>
      <c r="I71" s="3">
        <f>SUM(E71:F71)/SUM('County Totals'!E70:F70)</f>
        <v>0.7718446601941747</v>
      </c>
      <c r="J71">
        <f t="shared" si="3"/>
        <v>86</v>
      </c>
      <c r="K71" s="1"/>
      <c r="L71" s="1"/>
      <c r="M71" s="38"/>
      <c r="N71" s="1"/>
      <c r="O71" s="1"/>
      <c r="P71" s="1"/>
      <c r="Q71" s="1"/>
    </row>
    <row r="72" spans="1:17" ht="15">
      <c r="A72" t="s">
        <v>68</v>
      </c>
      <c r="B72" s="2">
        <f>VLOOKUP($A72,'County Totals'!$A:$D,2,FALSE)</f>
        <v>338.4009999999998</v>
      </c>
      <c r="C72" s="2">
        <f>VLOOKUP($A72,'County Totals'!$A:$D,3,FALSE)</f>
        <v>881.4318376948704</v>
      </c>
      <c r="D72" s="2">
        <f>VLOOKUP($A72,'County Totals'!$A:$D,4,FALSE)</f>
        <v>280268</v>
      </c>
      <c r="E72" s="4">
        <v>1</v>
      </c>
      <c r="F72" s="4">
        <v>47</v>
      </c>
      <c r="G72" s="4">
        <v>140</v>
      </c>
      <c r="H72" s="3">
        <f t="shared" si="4"/>
        <v>0.27371062257240675</v>
      </c>
      <c r="I72" s="3">
        <f>SUM(E72:F72)/SUM('County Totals'!E71:F71)</f>
        <v>0.6575342465753424</v>
      </c>
      <c r="J72">
        <f t="shared" si="3"/>
        <v>8</v>
      </c>
      <c r="K72" s="1"/>
      <c r="L72" s="1"/>
      <c r="M72" s="38"/>
      <c r="N72" s="1"/>
      <c r="O72" s="1"/>
      <c r="P72" s="1"/>
      <c r="Q72" s="1"/>
    </row>
    <row r="73" spans="1:17" ht="15">
      <c r="A73" t="s">
        <v>69</v>
      </c>
      <c r="B73" s="2">
        <f>VLOOKUP($A73,'County Totals'!$A:$D,2,FALSE)</f>
        <v>360.74</v>
      </c>
      <c r="C73" s="2">
        <f>VLOOKUP($A73,'County Totals'!$A:$D,3,FALSE)</f>
        <v>2868.511061777541</v>
      </c>
      <c r="D73" s="2">
        <f>VLOOKUP($A73,'County Totals'!$A:$D,4,FALSE)</f>
        <v>936784</v>
      </c>
      <c r="E73" s="4">
        <v>3</v>
      </c>
      <c r="F73" s="4">
        <v>270</v>
      </c>
      <c r="G73" s="4">
        <v>806</v>
      </c>
      <c r="H73" s="3">
        <f t="shared" si="4"/>
        <v>0.4714468176403935</v>
      </c>
      <c r="I73" s="3">
        <f>SUM(E73:F73)/SUM('County Totals'!E72:F72)</f>
        <v>0.5870967741935483</v>
      </c>
      <c r="J73">
        <f t="shared" si="3"/>
        <v>25</v>
      </c>
      <c r="K73" s="1"/>
      <c r="L73" s="1"/>
      <c r="M73" s="38"/>
      <c r="N73" s="1"/>
      <c r="O73" s="1"/>
      <c r="P73" s="1"/>
      <c r="Q73" s="1"/>
    </row>
    <row r="74" spans="1:17" ht="15">
      <c r="A74" t="s">
        <v>70</v>
      </c>
      <c r="B74" s="2">
        <f>VLOOKUP($A74,'County Totals'!$A:$D,2,FALSE)</f>
        <v>457.32000000000016</v>
      </c>
      <c r="C74" s="2">
        <f>VLOOKUP($A74,'County Totals'!$A:$D,3,FALSE)</f>
        <v>770.5371858261226</v>
      </c>
      <c r="D74" s="2">
        <f>VLOOKUP($A74,'County Totals'!$A:$D,4,FALSE)</f>
        <v>299215</v>
      </c>
      <c r="E74" s="4">
        <v>14</v>
      </c>
      <c r="F74" s="4">
        <v>501</v>
      </c>
      <c r="G74" s="4">
        <v>1230</v>
      </c>
      <c r="H74" s="3">
        <f t="shared" si="4"/>
        <v>2.2524693038107246</v>
      </c>
      <c r="I74" s="3">
        <f>SUM(E74:F74)/SUM('County Totals'!E73:F73)</f>
        <v>0.8213716108452951</v>
      </c>
      <c r="J74">
        <f t="shared" si="3"/>
        <v>81</v>
      </c>
      <c r="K74" s="1"/>
      <c r="L74" s="1"/>
      <c r="M74" s="38"/>
      <c r="N74" s="1"/>
      <c r="O74" s="1"/>
      <c r="P74" s="1"/>
      <c r="Q74" s="1"/>
    </row>
    <row r="75" spans="1:17" ht="15">
      <c r="A75" t="s">
        <v>71</v>
      </c>
      <c r="B75" s="2">
        <f>VLOOKUP($A75,'County Totals'!$A:$D,2,FALSE)</f>
        <v>325.2519999999994</v>
      </c>
      <c r="C75" s="2">
        <f>VLOOKUP($A75,'County Totals'!$A:$D,3,FALSE)</f>
        <v>975.4681306116271</v>
      </c>
      <c r="D75" s="2">
        <f>VLOOKUP($A75,'County Totals'!$A:$D,4,FALSE)</f>
        <v>283234</v>
      </c>
      <c r="E75" s="4">
        <v>6</v>
      </c>
      <c r="F75" s="4">
        <v>154</v>
      </c>
      <c r="G75" s="4">
        <v>397</v>
      </c>
      <c r="H75" s="3">
        <f t="shared" si="4"/>
        <v>0.7680371938938916</v>
      </c>
      <c r="I75" s="3">
        <f>SUM(E75:F75)/SUM('County Totals'!E74:F74)</f>
        <v>0.6201550387596899</v>
      </c>
      <c r="J75">
        <f t="shared" si="3"/>
        <v>49</v>
      </c>
      <c r="K75" s="1"/>
      <c r="L75" s="1"/>
      <c r="M75" s="38"/>
      <c r="N75" s="1"/>
      <c r="O75" s="1"/>
      <c r="P75" s="1"/>
      <c r="Q75" s="1"/>
    </row>
    <row r="76" spans="1:17" ht="15">
      <c r="A76" t="s">
        <v>72</v>
      </c>
      <c r="B76" s="2">
        <f>VLOOKUP($A76,'County Totals'!$A:$D,2,FALSE)</f>
        <v>418.70699999999977</v>
      </c>
      <c r="C76" s="2">
        <f>VLOOKUP($A76,'County Totals'!$A:$D,3,FALSE)</f>
        <v>792.0507253528077</v>
      </c>
      <c r="D76" s="2">
        <f>VLOOKUP($A76,'County Totals'!$A:$D,4,FALSE)</f>
        <v>321034</v>
      </c>
      <c r="E76" s="4">
        <v>13</v>
      </c>
      <c r="F76" s="4">
        <v>450</v>
      </c>
      <c r="G76" s="4">
        <v>1168</v>
      </c>
      <c r="H76" s="3">
        <f t="shared" si="4"/>
        <v>1.9935583146956397</v>
      </c>
      <c r="I76" s="3">
        <f>SUM(E76:F76)/SUM('County Totals'!E75:F75)</f>
        <v>0.6869436201780416</v>
      </c>
      <c r="J76">
        <f t="shared" si="3"/>
        <v>78</v>
      </c>
      <c r="K76" s="1"/>
      <c r="L76" s="1"/>
      <c r="M76" s="38"/>
      <c r="N76" s="1"/>
      <c r="O76" s="1"/>
      <c r="P76" s="1"/>
      <c r="Q76" s="1"/>
    </row>
    <row r="77" spans="1:17" ht="15">
      <c r="A77" t="s">
        <v>73</v>
      </c>
      <c r="B77" s="2">
        <f>VLOOKUP($A77,'County Totals'!$A:$D,2,FALSE)</f>
        <v>397.922999999999</v>
      </c>
      <c r="C77" s="2">
        <f>VLOOKUP($A77,'County Totals'!$A:$D,3,FALSE)</f>
        <v>750.8919664719082</v>
      </c>
      <c r="D77" s="2">
        <f>VLOOKUP($A77,'County Totals'!$A:$D,4,FALSE)</f>
        <v>289803</v>
      </c>
      <c r="E77" s="4">
        <v>0</v>
      </c>
      <c r="F77" s="4">
        <v>139</v>
      </c>
      <c r="G77" s="4">
        <v>338</v>
      </c>
      <c r="H77" s="3">
        <f t="shared" si="4"/>
        <v>0.6390737137022557</v>
      </c>
      <c r="I77" s="3">
        <f>SUM(E77:F77)/SUM('County Totals'!E76:F76)</f>
        <v>0.7239583333333334</v>
      </c>
      <c r="J77">
        <f t="shared" si="3"/>
        <v>38</v>
      </c>
      <c r="K77" s="1"/>
      <c r="L77" s="1"/>
      <c r="M77" s="38"/>
      <c r="N77" s="1"/>
      <c r="O77" s="1"/>
      <c r="P77" s="1"/>
      <c r="Q77" s="1"/>
    </row>
    <row r="78" spans="1:12" ht="15">
      <c r="A78" t="s">
        <v>74</v>
      </c>
      <c r="B78" s="2">
        <f>VLOOKUP($A78,'County Totals'!$A:$D,2,FALSE)</f>
        <v>418.1529999999995</v>
      </c>
      <c r="C78" s="2">
        <f>VLOOKUP($A78,'County Totals'!$A:$D,3,FALSE)</f>
        <v>971.4711020965548</v>
      </c>
      <c r="D78" s="2">
        <f>VLOOKUP($A78,'County Totals'!$A:$D,4,FALSE)</f>
        <v>387003</v>
      </c>
      <c r="E78" s="4">
        <v>6</v>
      </c>
      <c r="F78" s="4">
        <v>177</v>
      </c>
      <c r="G78" s="4">
        <v>448</v>
      </c>
      <c r="H78" s="3">
        <f t="shared" si="4"/>
        <v>0.6343089124755998</v>
      </c>
      <c r="I78" s="3">
        <f>SUM(E78:F78)/SUM('County Totals'!E77:F77)</f>
        <v>0.6931818181818182</v>
      </c>
      <c r="J78">
        <f t="shared" si="3"/>
        <v>36</v>
      </c>
      <c r="K78" s="1"/>
      <c r="L78" s="1"/>
    </row>
    <row r="79" spans="1:12" ht="15">
      <c r="A79" t="s">
        <v>75</v>
      </c>
      <c r="B79" s="2">
        <f>VLOOKUP($A79,'County Totals'!$A:$D,2,FALSE)</f>
        <v>420.9699999999995</v>
      </c>
      <c r="C79" s="2">
        <f>VLOOKUP($A79,'County Totals'!$A:$D,3,FALSE)</f>
        <v>5959.840774096216</v>
      </c>
      <c r="D79" s="2">
        <f>VLOOKUP($A79,'County Totals'!$A:$D,4,FALSE)</f>
        <v>2196398</v>
      </c>
      <c r="E79" s="4">
        <v>30</v>
      </c>
      <c r="F79" s="4">
        <v>817</v>
      </c>
      <c r="G79" s="4">
        <v>2549</v>
      </c>
      <c r="H79" s="3">
        <f t="shared" si="4"/>
        <v>0.6359103991021314</v>
      </c>
      <c r="I79" s="3">
        <f>SUM(E79:F79)/SUM('County Totals'!E78:F78)</f>
        <v>0.36986899563318776</v>
      </c>
      <c r="J79">
        <f t="shared" si="3"/>
        <v>37</v>
      </c>
      <c r="K79" s="1"/>
      <c r="L79" s="1"/>
    </row>
    <row r="80" spans="1:12" ht="15">
      <c r="A80" t="s">
        <v>76</v>
      </c>
      <c r="B80" s="2">
        <f>VLOOKUP($A80,'County Totals'!$A:$D,2,FALSE)</f>
        <v>198.27000000000024</v>
      </c>
      <c r="C80" s="2">
        <f>VLOOKUP($A80,'County Totals'!$A:$D,3,FALSE)</f>
        <v>8856.096007556946</v>
      </c>
      <c r="D80" s="2">
        <f>VLOOKUP($A80,'County Totals'!$A:$D,4,FALSE)</f>
        <v>1237542</v>
      </c>
      <c r="E80" s="4">
        <v>9</v>
      </c>
      <c r="F80" s="4">
        <v>286</v>
      </c>
      <c r="G80" s="4">
        <v>854</v>
      </c>
      <c r="H80" s="3">
        <f t="shared" si="4"/>
        <v>0.3781247064580048</v>
      </c>
      <c r="I80" s="3">
        <f>SUM(E80:F80)/SUM('County Totals'!E79:F79)</f>
        <v>0.42877906976744184</v>
      </c>
      <c r="J80">
        <f t="shared" si="3"/>
        <v>19</v>
      </c>
      <c r="K80" s="1"/>
      <c r="L80" s="1"/>
    </row>
    <row r="81" spans="1:12" ht="15">
      <c r="A81" t="s">
        <v>77</v>
      </c>
      <c r="B81" s="2">
        <f>VLOOKUP($A81,'County Totals'!$A:$D,2,FALSE)</f>
        <v>467.90999999999855</v>
      </c>
      <c r="C81" s="2">
        <f>VLOOKUP($A81,'County Totals'!$A:$D,3,FALSE)</f>
        <v>2153.379663017113</v>
      </c>
      <c r="D81" s="2">
        <f>VLOOKUP($A81,'County Totals'!$A:$D,4,FALSE)</f>
        <v>853983</v>
      </c>
      <c r="E81" s="4">
        <v>15</v>
      </c>
      <c r="F81" s="4">
        <v>486</v>
      </c>
      <c r="G81" s="4">
        <v>1265</v>
      </c>
      <c r="H81" s="3">
        <f t="shared" si="4"/>
        <v>0.8116680132174843</v>
      </c>
      <c r="I81" s="3">
        <f>SUM(E81:F81)/SUM('County Totals'!E80:F80)</f>
        <v>0.5529801324503312</v>
      </c>
      <c r="J81">
        <f t="shared" si="3"/>
        <v>53</v>
      </c>
      <c r="K81" s="1"/>
      <c r="L81" s="1"/>
    </row>
    <row r="82" spans="1:12" ht="15">
      <c r="A82" t="s">
        <v>78</v>
      </c>
      <c r="B82" s="2">
        <f>VLOOKUP($A82,'County Totals'!$A:$D,2,FALSE)</f>
        <v>475.5799999999995</v>
      </c>
      <c r="C82" s="2">
        <f>VLOOKUP($A82,'County Totals'!$A:$D,3,FALSE)</f>
        <v>673.9198290871007</v>
      </c>
      <c r="D82" s="2">
        <f>VLOOKUP($A82,'County Totals'!$A:$D,4,FALSE)</f>
        <v>291471</v>
      </c>
      <c r="E82" s="4">
        <v>9</v>
      </c>
      <c r="F82" s="4">
        <v>441</v>
      </c>
      <c r="G82" s="4">
        <v>1192</v>
      </c>
      <c r="H82" s="3">
        <f t="shared" si="4"/>
        <v>2.2408770853069666</v>
      </c>
      <c r="I82" s="3">
        <f>SUM(E82:F82)/SUM('County Totals'!E81:F81)</f>
        <v>0.8538899430740038</v>
      </c>
      <c r="J82">
        <f t="shared" si="3"/>
        <v>80</v>
      </c>
      <c r="K82" s="1"/>
      <c r="L82" s="1"/>
    </row>
    <row r="83" spans="1:12" ht="15">
      <c r="A83" t="s">
        <v>79</v>
      </c>
      <c r="B83" s="2">
        <f>VLOOKUP($A83,'County Totals'!$A:$D,2,FALSE)</f>
        <v>466.4499999999996</v>
      </c>
      <c r="C83" s="2">
        <f>VLOOKUP($A83,'County Totals'!$A:$D,3,FALSE)</f>
        <v>852.7784093542986</v>
      </c>
      <c r="D83" s="2">
        <f>VLOOKUP($A83,'County Totals'!$A:$D,4,FALSE)</f>
        <v>386318</v>
      </c>
      <c r="E83" s="4">
        <v>9</v>
      </c>
      <c r="F83" s="4">
        <v>141</v>
      </c>
      <c r="G83" s="4">
        <v>391</v>
      </c>
      <c r="H83" s="3">
        <f t="shared" si="4"/>
        <v>0.5545860543450363</v>
      </c>
      <c r="I83" s="3">
        <f>SUM(E83:F83)/SUM('County Totals'!E82:F82)</f>
        <v>0.6329113924050633</v>
      </c>
      <c r="J83">
        <f t="shared" si="3"/>
        <v>30</v>
      </c>
      <c r="K83" s="1"/>
      <c r="L83" s="1"/>
    </row>
    <row r="84" spans="1:12" ht="15">
      <c r="A84" t="s">
        <v>80</v>
      </c>
      <c r="B84" s="2">
        <f>VLOOKUP($A84,'County Totals'!$A:$D,2,FALSE)</f>
        <v>275.1689999999996</v>
      </c>
      <c r="C84" s="2">
        <f>VLOOKUP($A84,'County Totals'!$A:$D,3,FALSE)</f>
        <v>1166.5358558347496</v>
      </c>
      <c r="D84" s="2">
        <f>VLOOKUP($A84,'County Totals'!$A:$D,4,FALSE)</f>
        <v>298744</v>
      </c>
      <c r="E84" s="4">
        <v>0</v>
      </c>
      <c r="F84" s="4">
        <v>62</v>
      </c>
      <c r="G84" s="4">
        <v>155</v>
      </c>
      <c r="H84" s="3">
        <f t="shared" si="4"/>
        <v>0.2842952723713784</v>
      </c>
      <c r="I84" s="3">
        <f>SUM(E84:F84)/SUM('County Totals'!E83:F83)</f>
        <v>0.6019417475728155</v>
      </c>
      <c r="J84">
        <f t="shared" si="3"/>
        <v>11</v>
      </c>
      <c r="K84" s="1"/>
      <c r="L84" s="1"/>
    </row>
    <row r="85" spans="1:12" ht="15">
      <c r="A85" t="s">
        <v>81</v>
      </c>
      <c r="B85" s="2">
        <f>VLOOKUP($A85,'County Totals'!$A:$D,2,FALSE)</f>
        <v>198.83000000000004</v>
      </c>
      <c r="C85" s="2">
        <f>VLOOKUP($A85,'County Totals'!$A:$D,3,FALSE)</f>
        <v>194.80254910154613</v>
      </c>
      <c r="D85" s="2">
        <f>VLOOKUP($A85,'County Totals'!$A:$D,4,FALSE)</f>
        <v>37293</v>
      </c>
      <c r="E85" s="4">
        <v>3</v>
      </c>
      <c r="F85" s="4">
        <v>66</v>
      </c>
      <c r="G85" s="4">
        <v>164</v>
      </c>
      <c r="H85" s="3">
        <f t="shared" si="4"/>
        <v>2.4096482905271803</v>
      </c>
      <c r="I85" s="3">
        <f>SUM(E85:F85)/SUM('County Totals'!E84:F84)</f>
        <v>0.8846153846153846</v>
      </c>
      <c r="J85">
        <f t="shared" si="3"/>
        <v>85</v>
      </c>
      <c r="K85" s="1"/>
      <c r="L85" s="1"/>
    </row>
    <row r="86" spans="1:12" ht="15">
      <c r="A86" t="s">
        <v>82</v>
      </c>
      <c r="B86" s="2">
        <f>VLOOKUP($A86,'County Totals'!$A:$D,2,FALSE)</f>
        <v>273.74999999999966</v>
      </c>
      <c r="C86" s="2">
        <f>VLOOKUP($A86,'County Totals'!$A:$D,3,FALSE)</f>
        <v>5986.866587324206</v>
      </c>
      <c r="D86" s="2">
        <f>VLOOKUP($A86,'County Totals'!$A:$D,4,FALSE)</f>
        <v>1428634</v>
      </c>
      <c r="E86" s="4">
        <v>8</v>
      </c>
      <c r="F86" s="4">
        <v>440</v>
      </c>
      <c r="G86" s="4">
        <v>1364</v>
      </c>
      <c r="H86" s="3">
        <f t="shared" si="4"/>
        <v>0.5231551679954226</v>
      </c>
      <c r="I86" s="3">
        <f>SUM(E86:F86)/SUM('County Totals'!E85:F85)</f>
        <v>0.4418145956607495</v>
      </c>
      <c r="J86">
        <f t="shared" si="3"/>
        <v>29</v>
      </c>
      <c r="K86" s="1"/>
      <c r="L86" s="1"/>
    </row>
    <row r="87" spans="1:12" ht="15">
      <c r="A87" t="s">
        <v>83</v>
      </c>
      <c r="B87" s="2">
        <f>VLOOKUP($A87,'County Totals'!$A:$D,2,FALSE)</f>
        <v>341.60899999999947</v>
      </c>
      <c r="C87" s="2">
        <f>VLOOKUP($A87,'County Totals'!$A:$D,3,FALSE)</f>
        <v>1210.0448569866019</v>
      </c>
      <c r="D87" s="2">
        <f>VLOOKUP($A87,'County Totals'!$A:$D,4,FALSE)</f>
        <v>404904</v>
      </c>
      <c r="E87" s="4">
        <v>3</v>
      </c>
      <c r="F87" s="4">
        <v>188</v>
      </c>
      <c r="G87" s="4">
        <v>540</v>
      </c>
      <c r="H87" s="3">
        <f t="shared" si="4"/>
        <v>0.7307668261091621</v>
      </c>
      <c r="I87" s="3">
        <f>SUM(E87:F87)/SUM('County Totals'!E86:F86)</f>
        <v>0.8059071729957806</v>
      </c>
      <c r="J87">
        <f t="shared" si="3"/>
        <v>47</v>
      </c>
      <c r="K87" s="1"/>
      <c r="L87" s="1"/>
    </row>
    <row r="88" spans="1:12" ht="15">
      <c r="A88" t="s">
        <v>84</v>
      </c>
      <c r="B88" s="2">
        <f>VLOOKUP($A88,'County Totals'!$A:$D,2,FALSE)</f>
        <v>521.5439999999983</v>
      </c>
      <c r="C88" s="2">
        <f>VLOOKUP($A88,'County Totals'!$A:$D,3,FALSE)</f>
        <v>2295.9690961965975</v>
      </c>
      <c r="D88" s="2">
        <f>VLOOKUP($A88,'County Totals'!$A:$D,4,FALSE)</f>
        <v>1106090</v>
      </c>
      <c r="E88" s="4">
        <v>10</v>
      </c>
      <c r="F88" s="4">
        <v>498</v>
      </c>
      <c r="G88" s="4">
        <v>1294</v>
      </c>
      <c r="H88" s="3">
        <f t="shared" si="4"/>
        <v>0.6410338181254789</v>
      </c>
      <c r="I88" s="3">
        <f>SUM(E88:F88)/SUM('County Totals'!E87:F87)</f>
        <v>0.5941520467836258</v>
      </c>
      <c r="J88">
        <f t="shared" si="3"/>
        <v>39</v>
      </c>
      <c r="K88" s="1"/>
      <c r="L88" s="1"/>
    </row>
    <row r="89" spans="1:12" ht="15">
      <c r="A89" t="s">
        <v>85</v>
      </c>
      <c r="B89" s="2">
        <f>VLOOKUP($A89,'County Totals'!$A:$D,2,FALSE)</f>
        <v>408.7499999999999</v>
      </c>
      <c r="C89" s="2">
        <f>VLOOKUP($A89,'County Totals'!$A:$D,3,FALSE)</f>
        <v>863.3237399262753</v>
      </c>
      <c r="D89" s="2">
        <f>VLOOKUP($A89,'County Totals'!$A:$D,4,FALSE)</f>
        <v>333268</v>
      </c>
      <c r="E89" s="4">
        <v>3</v>
      </c>
      <c r="F89" s="4">
        <v>103</v>
      </c>
      <c r="G89" s="4">
        <v>308</v>
      </c>
      <c r="H89" s="3">
        <f t="shared" si="4"/>
        <v>0.5064006243853932</v>
      </c>
      <c r="I89" s="3">
        <f>SUM(E89:F89)/SUM('County Totals'!E88:F88)</f>
        <v>0.6708860759493671</v>
      </c>
      <c r="J89">
        <f t="shared" si="3"/>
        <v>28</v>
      </c>
      <c r="K89" s="1"/>
      <c r="L89" s="1"/>
    </row>
    <row r="90" spans="1:12" ht="15">
      <c r="A90" t="s">
        <v>86</v>
      </c>
      <c r="B90" s="2">
        <f>VLOOKUP($A90,'County Totals'!$A:$D,2,FALSE)</f>
        <v>254.06999999999974</v>
      </c>
      <c r="C90" s="2">
        <f>VLOOKUP($A90,'County Totals'!$A:$D,3,FALSE)</f>
        <v>2660.9407099410582</v>
      </c>
      <c r="D90" s="2">
        <f>VLOOKUP($A90,'County Totals'!$A:$D,4,FALSE)</f>
        <v>594526</v>
      </c>
      <c r="E90" s="4">
        <v>5</v>
      </c>
      <c r="F90" s="4">
        <v>128</v>
      </c>
      <c r="G90" s="4">
        <v>324</v>
      </c>
      <c r="H90" s="3">
        <f t="shared" si="4"/>
        <v>0.2986147730718967</v>
      </c>
      <c r="I90" s="3">
        <f>SUM(E90:F90)/SUM('County Totals'!E89:F89)</f>
        <v>0.525691699604743</v>
      </c>
      <c r="J90">
        <f t="shared" si="3"/>
        <v>12</v>
      </c>
      <c r="K90" s="1"/>
      <c r="L90" s="1"/>
    </row>
    <row r="91" spans="1:12" ht="15">
      <c r="A91" t="s">
        <v>87</v>
      </c>
      <c r="B91" s="2">
        <f>VLOOKUP($A91,'County Totals'!$A:$D,2,FALSE)</f>
        <v>347.6099999999994</v>
      </c>
      <c r="C91" s="2">
        <f>VLOOKUP($A91,'County Totals'!$A:$D,3,FALSE)</f>
        <v>505.34056511048595</v>
      </c>
      <c r="D91" s="2">
        <f>VLOOKUP($A91,'County Totals'!$A:$D,4,FALSE)</f>
        <v>154756</v>
      </c>
      <c r="E91" s="4">
        <v>1</v>
      </c>
      <c r="F91" s="4">
        <v>40</v>
      </c>
      <c r="G91" s="4">
        <v>97</v>
      </c>
      <c r="H91" s="3">
        <f t="shared" si="4"/>
        <v>0.34344829881559913</v>
      </c>
      <c r="I91" s="3">
        <f>SUM(E91:F91)/SUM('County Totals'!E90:F90)</f>
        <v>0.7321428571428571</v>
      </c>
      <c r="J91">
        <f t="shared" si="3"/>
        <v>16</v>
      </c>
      <c r="K91" s="1"/>
      <c r="L91" s="1"/>
    </row>
  </sheetData>
  <sheetProtection/>
  <autoFilter ref="A3:D91"/>
  <mergeCells count="2">
    <mergeCell ref="E1:J1"/>
    <mergeCell ref="E2:J2"/>
  </mergeCells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A1" sqref="A1:C1"/>
    </sheetView>
  </sheetViews>
  <sheetFormatPr defaultColWidth="9.140625" defaultRowHeight="15"/>
  <cols>
    <col min="1" max="2" width="12.57421875" style="0" bestFit="1" customWidth="1"/>
    <col min="3" max="3" width="6.57421875" style="0" bestFit="1" customWidth="1"/>
    <col min="6" max="6" width="9.140625" style="0" hidden="1" customWidth="1"/>
  </cols>
  <sheetData>
    <row r="1" spans="1:6" ht="15.75" thickBot="1">
      <c r="A1" s="151" t="s">
        <v>111</v>
      </c>
      <c r="B1" s="152"/>
      <c r="C1" s="153"/>
      <c r="F1" s="16"/>
    </row>
    <row r="2" spans="1:6" ht="15">
      <c r="A2" s="149" t="s">
        <v>112</v>
      </c>
      <c r="B2" s="150"/>
      <c r="C2" s="30" t="s">
        <v>103</v>
      </c>
      <c r="F2" t="s">
        <v>152</v>
      </c>
    </row>
    <row r="3" spans="1:6" ht="15">
      <c r="A3" s="27">
        <v>0</v>
      </c>
      <c r="B3" s="25">
        <v>100000</v>
      </c>
      <c r="C3" s="26">
        <v>6</v>
      </c>
      <c r="F3" t="s">
        <v>151</v>
      </c>
    </row>
    <row r="4" spans="1:3" ht="15">
      <c r="A4" s="27">
        <v>100000</v>
      </c>
      <c r="B4" s="25">
        <v>200000</v>
      </c>
      <c r="C4" s="26">
        <v>3</v>
      </c>
    </row>
    <row r="5" spans="1:3" ht="15.75" thickBot="1">
      <c r="A5" s="28">
        <v>200000</v>
      </c>
      <c r="B5" s="29">
        <v>300000</v>
      </c>
      <c r="C5" s="31">
        <v>0</v>
      </c>
    </row>
    <row r="6" ht="15.75" thickBot="1"/>
    <row r="7" spans="1:3" ht="15.75" thickBot="1">
      <c r="A7" s="151" t="s">
        <v>130</v>
      </c>
      <c r="B7" s="152"/>
      <c r="C7" s="153"/>
    </row>
    <row r="8" spans="1:3" ht="15">
      <c r="A8" s="149" t="s">
        <v>112</v>
      </c>
      <c r="B8" s="150"/>
      <c r="C8" s="30" t="s">
        <v>103</v>
      </c>
    </row>
    <row r="9" spans="1:3" ht="15">
      <c r="A9" s="27">
        <v>0</v>
      </c>
      <c r="B9" s="25">
        <v>50000</v>
      </c>
      <c r="C9" s="26">
        <v>6</v>
      </c>
    </row>
    <row r="10" spans="1:3" ht="15">
      <c r="A10" s="27">
        <v>50000</v>
      </c>
      <c r="B10" s="25">
        <v>100000</v>
      </c>
      <c r="C10" s="26">
        <v>3</v>
      </c>
    </row>
    <row r="11" spans="1:3" ht="15.75" thickBot="1">
      <c r="A11" s="28">
        <v>100000</v>
      </c>
      <c r="B11" s="29">
        <v>150000</v>
      </c>
      <c r="C11" s="31">
        <v>0</v>
      </c>
    </row>
    <row r="12" ht="15.75" thickBot="1"/>
    <row r="13" spans="1:3" ht="15.75" thickBot="1">
      <c r="A13" s="151" t="s">
        <v>150</v>
      </c>
      <c r="B13" s="152"/>
      <c r="C13" s="153"/>
    </row>
    <row r="14" spans="1:3" ht="15">
      <c r="A14" s="149" t="s">
        <v>112</v>
      </c>
      <c r="B14" s="150"/>
      <c r="C14" s="30" t="s">
        <v>103</v>
      </c>
    </row>
    <row r="15" spans="1:3" ht="15">
      <c r="A15" s="27">
        <v>0</v>
      </c>
      <c r="B15" s="25">
        <v>25000</v>
      </c>
      <c r="C15" s="26">
        <v>6</v>
      </c>
    </row>
    <row r="16" spans="1:3" ht="15">
      <c r="A16" s="27">
        <v>25000</v>
      </c>
      <c r="B16" s="25">
        <v>50000</v>
      </c>
      <c r="C16" s="26">
        <v>3</v>
      </c>
    </row>
    <row r="17" spans="1:3" ht="15.75" thickBot="1">
      <c r="A17" s="28">
        <v>50000</v>
      </c>
      <c r="B17" s="29">
        <v>75000</v>
      </c>
      <c r="C17" s="31">
        <v>0</v>
      </c>
    </row>
  </sheetData>
  <sheetProtection/>
  <mergeCells count="6">
    <mergeCell ref="A14:B14"/>
    <mergeCell ref="A1:C1"/>
    <mergeCell ref="A2:B2"/>
    <mergeCell ref="A7:C7"/>
    <mergeCell ref="A8:B8"/>
    <mergeCell ref="A13:C1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jhughes3@dot.state.oh.us</Manager>
  <Company>Ohio Department of Transportation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2011 CEAO HSIP Application</dc:title>
  <dc:subject/>
  <dc:creator>Derek Troyer</dc:creator>
  <cp:keywords/>
  <dc:description/>
  <cp:lastModifiedBy>Derek Troyer</cp:lastModifiedBy>
  <cp:lastPrinted>2014-06-16T17:51:57Z</cp:lastPrinted>
  <dcterms:created xsi:type="dcterms:W3CDTF">2010-12-28T15:18:36Z</dcterms:created>
  <dcterms:modified xsi:type="dcterms:W3CDTF">2017-06-23T01:08:57Z</dcterms:modified>
  <cp:category/>
  <cp:version/>
  <cp:contentType/>
  <cp:contentStatus/>
</cp:coreProperties>
</file>